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2.xml" ContentType="application/vnd.openxmlformats-officedocument.drawing+xml"/>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drawings/drawing3.xml" ContentType="application/vnd.openxmlformats-officedocument.drawing+xml"/>
  <Override PartName="/xl/activeX/activeX6.xml" ContentType="application/vnd.ms-office.activeX+xml"/>
  <Override PartName="/xl/activeX/activeX6.bin" ContentType="application/vnd.ms-office.activeX"/>
  <Override PartName="/xl/customProperty8.bin" ContentType="application/vnd.openxmlformats-officedocument.spreadsheetml.customProperty"/>
  <Override PartName="/xl/drawings/drawing4.xml" ContentType="application/vnd.openxmlformats-officedocument.drawing+xml"/>
  <Override PartName="/xl/activeX/activeX7.xml" ContentType="application/vnd.ms-office.activeX+xml"/>
  <Override PartName="/xl/activeX/activeX7.bin" ContentType="application/vnd.ms-office.activeX"/>
  <Override PartName="/xl/customProperty9.bin" ContentType="application/vnd.openxmlformats-officedocument.spreadsheetml.customProperty"/>
  <Override PartName="/xl/drawings/drawing5.xml" ContentType="application/vnd.openxmlformats-officedocument.drawing+xml"/>
  <Override PartName="/xl/activeX/activeX8.xml" ContentType="application/vnd.ms-office.activeX+xml"/>
  <Override PartName="/xl/activeX/activeX8.bin" ContentType="application/vnd.ms-office.activeX"/>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6.xml" ContentType="application/vnd.openxmlformats-officedocument.drawing+xml"/>
  <Override PartName="/xl/activeX/activeX9.xml" ContentType="application/vnd.ms-office.activeX+xml"/>
  <Override PartName="/xl/activeX/activeX9.bin" ContentType="application/vnd.ms-office.activeX"/>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drawings/drawing7.xml" ContentType="application/vnd.openxmlformats-officedocument.drawing+xml"/>
  <Override PartName="/xl/activeX/activeX10.xml" ContentType="application/vnd.ms-office.activeX+xml"/>
  <Override PartName="/xl/activeX/activeX10.bin" ContentType="application/vnd.ms-office.activeX"/>
  <Override PartName="/xl/customProperty18.bin" ContentType="application/vnd.openxmlformats-officedocument.spreadsheetml.customProperty"/>
  <Override PartName="/xl/drawings/drawing8.xml" ContentType="application/vnd.openxmlformats-officedocument.drawing+xml"/>
  <Override PartName="/xl/activeX/activeX11.xml" ContentType="application/vnd.ms-office.activeX+xml"/>
  <Override PartName="/xl/activeX/activeX11.bin" ContentType="application/vnd.ms-office.activeX"/>
  <Override PartName="/xl/customProperty19.bin" ContentType="application/vnd.openxmlformats-officedocument.spreadsheetml.customProperty"/>
  <Override PartName="/xl/drawings/drawing9.xml" ContentType="application/vnd.openxmlformats-officedocument.drawing+xml"/>
  <Override PartName="/xl/activeX/activeX12.xml" ContentType="application/vnd.ms-office.activeX+xml"/>
  <Override PartName="/xl/activeX/activeX12.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Y:\Team Members\Venkatesh Bhaskar\Sabra Health Care\#SABRA workings\#01. Analysis\Signature Healthcare Aug 21\"/>
    </mc:Choice>
  </mc:AlternateContent>
  <xr:revisionPtr revIDLastSave="0" documentId="13_ncr:1_{6C84C44F-80E5-4D22-B6E2-56C07FB12A25}" xr6:coauthVersionLast="41" xr6:coauthVersionMax="41" xr10:uidLastSave="{00000000-0000-0000-0000-000000000000}"/>
  <bookViews>
    <workbookView xWindow="-120" yWindow="-120" windowWidth="20730" windowHeight="11160" tabRatio="673" xr2:uid="{00000000-000D-0000-FFFF-FFFF00000000}"/>
  </bookViews>
  <sheets>
    <sheet name="Reconciliation" sheetId="33" r:id="rId1"/>
    <sheet name="BPC Data" sheetId="1" r:id="rId2"/>
    <sheet name="Summary" sheetId="2" r:id="rId3"/>
    <sheet name="Variance Analysis Old" sheetId="35" state="hidden" r:id="rId4"/>
    <sheet name="2016 Non-Operating adjustment" sheetId="36" state="hidden" r:id="rId5"/>
    <sheet name="Beds Analysis" sheetId="46" state="hidden" r:id="rId6"/>
    <sheet name="Cons SABRA SNFs Only" sheetId="47" r:id="rId7"/>
    <sheet name="Bluffton" sheetId="49" r:id="rId8"/>
    <sheet name="PropertyList" sheetId="3" r:id="rId9"/>
    <sheet name="SCC P&amp;L(Previous Rec)" sheetId="34" state="hidden" r:id="rId10"/>
    <sheet name="SCC P&amp;L (Previous Rec)" sheetId="32" state="hidden" r:id="rId11"/>
  </sheets>
  <externalReferences>
    <externalReference r:id="rId12"/>
    <externalReference r:id="rId13"/>
  </externalReferences>
  <definedNames>
    <definedName name="__FPMExcelClient_CellBasedFunctionStatus" localSheetId="1" hidden="1">"2_2_2_2_2_2"</definedName>
    <definedName name="__FPMExcelClient_CellBasedFunctionStatus" localSheetId="2" hidden="1">"2_1_2_2_2_2"</definedName>
    <definedName name="__FPMExcelClient_Connection" localSheetId="1">"_FPM_BPCMS10_[http://13.64.249.230/sap/bpc/]_[Sabra]_[Finance]_[false]_[false]\1"</definedName>
    <definedName name="__FPMExcelClient_Connection" localSheetId="2">"_FPM_BPCMS10_[http://13.64.249.230/sap/bpc/]_[Sabra]_[Finance]_[false]_[false]\1"</definedName>
    <definedName name="__FPMExcelClient_RefreshTime" localSheetId="1">636650166060087000</definedName>
    <definedName name="__FPMExcelClient_RefreshTime" localSheetId="2">636650166004022000</definedName>
    <definedName name="_xlnm._FilterDatabase" localSheetId="1" hidden="1">'BPC Data'!$A$1:$Q$375</definedName>
    <definedName name="_xlnm._FilterDatabase" localSheetId="10" hidden="1">'SCC P&amp;L (Previous Rec)'!$A$1:$N$357</definedName>
    <definedName name="APA">[1]ReportingTemplate!#REF!</definedName>
    <definedName name="APN">[1]ReportingTemplate!#REF!</definedName>
    <definedName name="Area1_Ledger">#REF!</definedName>
    <definedName name="Area1_nPlosion">#REF!</definedName>
    <definedName name="Area1_TimeSpan">#REF!</definedName>
    <definedName name="Area2A_Ledger">#REF!</definedName>
    <definedName name="Area2A_nPlosion">#REF!</definedName>
    <definedName name="Area2A_TimeSpan">#REF!</definedName>
    <definedName name="Area2B_Ledger">#REF!</definedName>
    <definedName name="Area2B_nPlosion">#REF!</definedName>
    <definedName name="Area2B_TimeSpan">#REF!</definedName>
    <definedName name="Area3A_Ledger">#REF!</definedName>
    <definedName name="Area3A_nPlosion">#REF!</definedName>
    <definedName name="Area3A_TimeSpan">#REF!</definedName>
    <definedName name="Area3B_Ledger">#REF!</definedName>
    <definedName name="Area3B_nPlosion">#REF!</definedName>
    <definedName name="Area3B_TimeSpan">#REF!</definedName>
    <definedName name="ASD">[1]ReportingTemplate!#REF!</definedName>
    <definedName name="ASDYY">[1]ReportingTemplate!#REF!</definedName>
    <definedName name="AST">[1]ReportingTemplate!#REF!</definedName>
    <definedName name="BUN">[1]ReportingTemplate!#REF!</definedName>
    <definedName name="BUV">[1]ReportingTemplate!#REF!</definedName>
    <definedName name="Criteria_Ledger">#REF!</definedName>
    <definedName name="Criteria_nPlosion">#REF!</definedName>
    <definedName name="Criteria_TimeSpan">#REF!</definedName>
    <definedName name="Descr_Ledger">#REF!</definedName>
    <definedName name="Descr_nPlosion">#REF!</definedName>
    <definedName name="Descr_TimeSpan">#REF!</definedName>
    <definedName name="EV__EVCOM_OPTIONS__" hidden="1">8</definedName>
    <definedName name="EV__EXPOPTIONS__" hidden="1">0</definedName>
    <definedName name="EV__LASTREFTIME__" hidden="1">41170.709525463</definedName>
    <definedName name="EV__MAXEXPCOLS__" hidden="1">100</definedName>
    <definedName name="EV__MAXEXPROWS__" hidden="1">1000</definedName>
    <definedName name="EV__MEMORYCVW__" hidden="1">0</definedName>
    <definedName name="EV__WBEVMODE__" hidden="1">1</definedName>
    <definedName name="EV__WBREFOPTIONS__" hidden="1">134217728</definedName>
    <definedName name="EV__WBVERSION__" hidden="1">0</definedName>
    <definedName name="Hardcode_Variables">[1]ReportingTemplate!#REF!</definedName>
    <definedName name="Hook_Check">#REF!</definedName>
    <definedName name="LYN">[1]ReportingTemplate!#REF!</definedName>
    <definedName name="NvsASD" localSheetId="4">"V2017-04-30"</definedName>
    <definedName name="NvsASD">"V2018-03-31"</definedName>
    <definedName name="NvsAutoDrillOk">"VN"</definedName>
    <definedName name="NvsElapsedTime" localSheetId="4">0.00020833333110204</definedName>
    <definedName name="NvsElapsedTime">0.0000462962998426519</definedName>
    <definedName name="NvsEndTime" localSheetId="4">42877.4305555556</definedName>
    <definedName name="NvsEndTime">43227.6196527778</definedName>
    <definedName name="NvsInstLang">"VENG"</definedName>
    <definedName name="NvsInstSpec" localSheetId="4">"%,FBUSINESS_UNIT,TCTRS_HCN,NLANDLORD_26"</definedName>
    <definedName name="NvsInstSpec">"%,FBUSINESS_UNIT,V90113"</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 localSheetId="4">"%,X,RZF..,CNF.."</definedName>
    <definedName name="NvsNplSpec">"%,X,RZF..,CZF.."</definedName>
    <definedName name="NvsPanelBusUnit">"V"</definedName>
    <definedName name="NvsPanelEffdt" localSheetId="4">"V2099-12-31"</definedName>
    <definedName name="NvsPanelEffdt">"V2003-11-20"</definedName>
    <definedName name="NvsPanelSetid" localSheetId="4">"VGHV01"</definedName>
    <definedName name="NvsPanelSetid">"VIHS"</definedName>
    <definedName name="NvsReqBU" localSheetId="4">"VRPT12"</definedName>
    <definedName name="NvsReqBU">"V90113"</definedName>
    <definedName name="NvsReqBUOnly" localSheetId="4">"VY"</definedName>
    <definedName name="NvsReqBUOnly">"VN"</definedName>
    <definedName name="NvsTransLed">"VN"</definedName>
    <definedName name="NvsTreeASD" localSheetId="4">"V2017-04-30"</definedName>
    <definedName name="NvsTreeASD">"V2018-03-31"</definedName>
    <definedName name="NvsValTbl.ACCOUNT">"GL_ACCOUNT_TBL"</definedName>
    <definedName name="NvsValTbl.BUSINESS_UNIT">"BUS_UNIT_TBL_FS"</definedName>
    <definedName name="NvsValTbl.CHARTFIELD1">"CHARTFIELD1_TBL"</definedName>
    <definedName name="NvsValTbl.CURRENCY_CD" localSheetId="4">"CURRENCY_CD_TBL"</definedName>
    <definedName name="NvsValTbl.CURRENCY_CD">"GL_ACCOUNT_TBL"</definedName>
    <definedName name="NvsValTbl.DEPTID">"DEPT_TBL"</definedName>
    <definedName name="NvsValTbl.DESCR">"FO_CSF_FLD_DTL"</definedName>
    <definedName name="NvsValTbl.OPER_UNIT">"OPER_UNIT_TBL"</definedName>
    <definedName name="NvsValTbl.PRODUCT">"PRODUCT_TBL"</definedName>
    <definedName name="NvsValTbl.SCENARIO">"BD_SCENARIO_TBL"</definedName>
    <definedName name="NvsValTbl.STATISTICS_CODE">"STAT_TBL"</definedName>
    <definedName name="OPR">[1]ReportingTemplate!#REF!</definedName>
    <definedName name="PatientDays_Insurance">'[2]Operating Statement'!$A$100:$U$101</definedName>
    <definedName name="PatientDays_Medicaid">'[2]Operating Statement'!$A$102:$U$103</definedName>
    <definedName name="PERIOD">[1]ReportingTemplate!#REF!</definedName>
    <definedName name="_xlnm.Print_Area" localSheetId="2">Summary!$F$4:$R$559</definedName>
    <definedName name="_xlnm.Print_Titles" localSheetId="7">Bluffton!$1:$9</definedName>
    <definedName name="_xlnm.Print_Titles" localSheetId="6">'Cons SABRA SNFs Only'!$1:$9</definedName>
    <definedName name="_xlnm.Print_Titles" localSheetId="10">'SCC P&amp;L (Previous Rec)'!$4:$6</definedName>
    <definedName name="_xlnm.Print_Titles" localSheetId="9">'SCC P&amp;L(Previous Rec)'!$4:$6</definedName>
    <definedName name="_xlnm.Print_Titles" localSheetId="2">Summary!$4:$8</definedName>
    <definedName name="RBN">[1]ReportingTemplate!#REF!</definedName>
    <definedName name="RBU">[1]ReportingTemplate!#REF!</definedName>
    <definedName name="RID">[1]ReportingTemplate!#REF!</definedName>
    <definedName name="SCD">[1]ReportingTemplate!#REF!</definedName>
    <definedName name="SCN">[1]ReportingTemplate!#REF!</definedName>
    <definedName name="SFD">[1]ReportingTemplate!#REF!</definedName>
    <definedName name="SFN">[1]ReportingTemplate!#REF!</definedName>
    <definedName name="SFV">[1]ReportingTemplate!#REF!</definedName>
    <definedName name="SLD">[1]ReportingTemplate!#REF!</definedName>
    <definedName name="SLN">[1]ReportingTemplate!#REF!</definedName>
    <definedName name="STD">[1]ReportingTemplate!#REF!</definedName>
    <definedName name="STN">[1]ReportingTemplate!#REF!</definedName>
  </definedNames>
  <calcPr calcId="191029"/>
</workbook>
</file>

<file path=xl/calcChain.xml><?xml version="1.0" encoding="utf-8"?>
<calcChain xmlns="http://schemas.openxmlformats.org/spreadsheetml/2006/main">
  <c r="Z550" i="2" l="1"/>
  <c r="X551" i="2"/>
  <c r="Z552" i="2"/>
  <c r="Z553" i="2"/>
  <c r="Z556" i="2"/>
  <c r="Z558" i="2"/>
  <c r="X553" i="2"/>
  <c r="X556" i="2"/>
  <c r="X558" i="2"/>
  <c r="X552" i="2"/>
  <c r="X550" i="2"/>
  <c r="D1" i="1"/>
  <c r="D2" i="1"/>
  <c r="Q4" i="1"/>
  <c r="E207" i="1"/>
  <c r="E208" i="1"/>
  <c r="P4" i="1"/>
  <c r="H4" i="1"/>
  <c r="E206" i="1"/>
  <c r="F4" i="1"/>
  <c r="G4" i="1"/>
  <c r="I4" i="1"/>
  <c r="D205" i="1"/>
  <c r="E205" i="1"/>
  <c r="O4" i="1"/>
  <c r="C205" i="1" l="1"/>
  <c r="C206" i="1" s="1"/>
  <c r="C207" i="1" s="1"/>
  <c r="C208" i="1" s="1"/>
  <c r="T556" i="2"/>
  <c r="N4" i="1"/>
  <c r="T551" i="2" l="1"/>
  <c r="T554" i="2"/>
  <c r="T553" i="2"/>
  <c r="T552" i="2"/>
  <c r="S53" i="2"/>
  <c r="C5" i="3"/>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T550" i="2" l="1"/>
  <c r="T558" i="2"/>
  <c r="X555" i="2"/>
  <c r="X557" i="2" s="1"/>
  <c r="Z555" i="2"/>
  <c r="Z557" i="2" s="1"/>
  <c r="T555" i="2" l="1"/>
  <c r="T557" i="2"/>
  <c r="J4" i="1"/>
  <c r="M4" i="1"/>
  <c r="K4" i="1"/>
  <c r="L4" i="1"/>
  <c r="N20" i="46" l="1"/>
  <c r="N17" i="46"/>
  <c r="N14" i="46"/>
  <c r="N11" i="46" l="1"/>
  <c r="N8" i="46"/>
  <c r="N22" i="46" s="1"/>
  <c r="M20" i="46" l="1"/>
  <c r="L20" i="46"/>
  <c r="K20" i="46"/>
  <c r="J20" i="46"/>
  <c r="I20" i="46"/>
  <c r="H20" i="46"/>
  <c r="G20" i="46"/>
  <c r="F20" i="46"/>
  <c r="E20" i="46"/>
  <c r="D20" i="46"/>
  <c r="M17" i="46"/>
  <c r="L17" i="46"/>
  <c r="K17" i="46"/>
  <c r="J17" i="46"/>
  <c r="I17" i="46"/>
  <c r="H17" i="46"/>
  <c r="G17" i="46"/>
  <c r="F17" i="46"/>
  <c r="E17" i="46"/>
  <c r="D17" i="46"/>
  <c r="M14" i="46"/>
  <c r="L14" i="46"/>
  <c r="K14" i="46"/>
  <c r="J14" i="46"/>
  <c r="I14" i="46"/>
  <c r="H14" i="46"/>
  <c r="G14" i="46"/>
  <c r="F14" i="46"/>
  <c r="E14" i="46"/>
  <c r="D14" i="46"/>
  <c r="M11" i="46"/>
  <c r="L11" i="46"/>
  <c r="K11" i="46"/>
  <c r="J11" i="46"/>
  <c r="I11" i="46"/>
  <c r="H11" i="46"/>
  <c r="G11" i="46"/>
  <c r="F11" i="46"/>
  <c r="E11" i="46"/>
  <c r="D11" i="46"/>
  <c r="M8" i="46"/>
  <c r="L8" i="46"/>
  <c r="K8" i="46"/>
  <c r="J8" i="46"/>
  <c r="I8" i="46"/>
  <c r="H8" i="46"/>
  <c r="G8" i="46"/>
  <c r="F8" i="46"/>
  <c r="E8" i="46"/>
  <c r="D8" i="46"/>
  <c r="L22" i="46" l="1"/>
  <c r="E22" i="46"/>
  <c r="J22" i="46"/>
  <c r="F22" i="46"/>
  <c r="K22" i="46"/>
  <c r="C22" i="46"/>
  <c r="H22" i="46"/>
  <c r="M22" i="46"/>
  <c r="D22" i="46"/>
  <c r="I22" i="46"/>
  <c r="G22" i="46"/>
  <c r="C7" i="33" l="1"/>
  <c r="S549" i="2" l="1"/>
  <c r="S548" i="2"/>
  <c r="S537" i="2"/>
  <c r="S526" i="2"/>
  <c r="S515" i="2"/>
  <c r="S504" i="2"/>
  <c r="S493" i="2"/>
  <c r="S482" i="2"/>
  <c r="S471" i="2"/>
  <c r="S460" i="2"/>
  <c r="S449" i="2"/>
  <c r="S438" i="2"/>
  <c r="S427" i="2"/>
  <c r="S416" i="2"/>
  <c r="S405" i="2"/>
  <c r="S394" i="2"/>
  <c r="S383" i="2"/>
  <c r="S372" i="2"/>
  <c r="S361" i="2"/>
  <c r="S350" i="2"/>
  <c r="S339" i="2"/>
  <c r="S328" i="2"/>
  <c r="S317" i="2"/>
  <c r="S306" i="2"/>
  <c r="S295" i="2"/>
  <c r="S284" i="2"/>
  <c r="S273" i="2"/>
  <c r="S262" i="2"/>
  <c r="S251" i="2"/>
  <c r="S240" i="2"/>
  <c r="S229" i="2"/>
  <c r="S218" i="2"/>
  <c r="S207" i="2"/>
  <c r="S196" i="2"/>
  <c r="S185" i="2"/>
  <c r="S174" i="2"/>
  <c r="S163" i="2"/>
  <c r="S152" i="2"/>
  <c r="S141" i="2"/>
  <c r="S130" i="2"/>
  <c r="S119" i="2"/>
  <c r="S108" i="2"/>
  <c r="S97" i="2"/>
  <c r="S86" i="2"/>
  <c r="S75" i="2"/>
  <c r="S64" i="2"/>
  <c r="S42" i="2"/>
  <c r="S31" i="2"/>
  <c r="S20" i="2"/>
  <c r="F9" i="2" l="1"/>
  <c r="G1" i="2"/>
  <c r="G8" i="2"/>
  <c r="C16" i="33" l="1"/>
  <c r="C13" i="33"/>
  <c r="C11" i="33"/>
  <c r="C10" i="33"/>
  <c r="C8" i="33"/>
  <c r="N415" i="34" l="1"/>
  <c r="M415" i="34"/>
  <c r="L415" i="34"/>
  <c r="K415" i="34"/>
  <c r="J415" i="34"/>
  <c r="I415" i="34"/>
  <c r="H415" i="34"/>
  <c r="G415" i="34"/>
  <c r="F415" i="34"/>
  <c r="E415" i="34"/>
  <c r="D415" i="34"/>
  <c r="C415" i="34"/>
  <c r="B415" i="34"/>
  <c r="N404" i="34"/>
  <c r="M404" i="34"/>
  <c r="L404" i="34"/>
  <c r="K404" i="34"/>
  <c r="J404" i="34"/>
  <c r="I404" i="34"/>
  <c r="H404" i="34"/>
  <c r="G404" i="34"/>
  <c r="F404" i="34"/>
  <c r="E404" i="34"/>
  <c r="D404" i="34"/>
  <c r="C404" i="34"/>
  <c r="B404" i="34"/>
  <c r="N383" i="34"/>
  <c r="M383" i="34"/>
  <c r="L383" i="34"/>
  <c r="K383" i="34"/>
  <c r="J383" i="34"/>
  <c r="I383" i="34"/>
  <c r="H383" i="34"/>
  <c r="G383" i="34"/>
  <c r="F383" i="34"/>
  <c r="E383" i="34"/>
  <c r="D383" i="34"/>
  <c r="C383" i="34"/>
  <c r="B383" i="34"/>
  <c r="N359" i="34"/>
  <c r="N364" i="34" s="1"/>
  <c r="M359" i="34"/>
  <c r="M364" i="34" s="1"/>
  <c r="L359" i="34"/>
  <c r="L364" i="34" s="1"/>
  <c r="K359" i="34"/>
  <c r="K364" i="34" s="1"/>
  <c r="J359" i="34"/>
  <c r="J364" i="34" s="1"/>
  <c r="I359" i="34"/>
  <c r="I364" i="34" s="1"/>
  <c r="H359" i="34"/>
  <c r="H364" i="34" s="1"/>
  <c r="G359" i="34"/>
  <c r="G364" i="34" s="1"/>
  <c r="F359" i="34"/>
  <c r="F364" i="34" s="1"/>
  <c r="E359" i="34"/>
  <c r="E364" i="34" s="1"/>
  <c r="D359" i="34"/>
  <c r="D364" i="34" s="1"/>
  <c r="C359" i="34"/>
  <c r="C364" i="34" s="1"/>
  <c r="B359" i="34"/>
  <c r="B364" i="34" s="1"/>
  <c r="N355" i="34"/>
  <c r="M355" i="34"/>
  <c r="L355" i="34"/>
  <c r="K355" i="34"/>
  <c r="J355" i="34"/>
  <c r="I355" i="34"/>
  <c r="H355" i="34"/>
  <c r="G355" i="34"/>
  <c r="F355" i="34"/>
  <c r="E355" i="34"/>
  <c r="D355" i="34"/>
  <c r="C355" i="34"/>
  <c r="B355" i="34"/>
  <c r="N351" i="34"/>
  <c r="M351" i="34"/>
  <c r="L351" i="34"/>
  <c r="K351" i="34"/>
  <c r="J351" i="34"/>
  <c r="I351" i="34"/>
  <c r="H351" i="34"/>
  <c r="G351" i="34"/>
  <c r="F351" i="34"/>
  <c r="E351" i="34"/>
  <c r="D351" i="34"/>
  <c r="C351" i="34"/>
  <c r="B351" i="34"/>
  <c r="N348" i="34"/>
  <c r="M348" i="34"/>
  <c r="L348" i="34"/>
  <c r="K348" i="34"/>
  <c r="J348" i="34"/>
  <c r="I348" i="34"/>
  <c r="H348" i="34"/>
  <c r="G348" i="34"/>
  <c r="F348" i="34"/>
  <c r="E348" i="34"/>
  <c r="D348" i="34"/>
  <c r="C348" i="34"/>
  <c r="B348" i="34"/>
  <c r="N297" i="34"/>
  <c r="M297" i="34"/>
  <c r="L297" i="34"/>
  <c r="K297" i="34"/>
  <c r="J297" i="34"/>
  <c r="I297" i="34"/>
  <c r="H297" i="34"/>
  <c r="G297" i="34"/>
  <c r="F297" i="34"/>
  <c r="E297" i="34"/>
  <c r="D297" i="34"/>
  <c r="C297" i="34"/>
  <c r="B297" i="34"/>
  <c r="N270" i="34"/>
  <c r="M270" i="34"/>
  <c r="L270" i="34"/>
  <c r="K270" i="34"/>
  <c r="J270" i="34"/>
  <c r="I270" i="34"/>
  <c r="H270" i="34"/>
  <c r="G270" i="34"/>
  <c r="F270" i="34"/>
  <c r="E270" i="34"/>
  <c r="D270" i="34"/>
  <c r="C270" i="34"/>
  <c r="B270" i="34"/>
  <c r="N257" i="34"/>
  <c r="M257" i="34"/>
  <c r="L257" i="34"/>
  <c r="K257" i="34"/>
  <c r="J257" i="34"/>
  <c r="I257" i="34"/>
  <c r="H257" i="34"/>
  <c r="G257" i="34"/>
  <c r="F257" i="34"/>
  <c r="E257" i="34"/>
  <c r="D257" i="34"/>
  <c r="C257" i="34"/>
  <c r="B257" i="34"/>
  <c r="N237" i="34"/>
  <c r="M237" i="34"/>
  <c r="L237" i="34"/>
  <c r="K237" i="34"/>
  <c r="J237" i="34"/>
  <c r="I237" i="34"/>
  <c r="H237" i="34"/>
  <c r="G237" i="34"/>
  <c r="F237" i="34"/>
  <c r="E237" i="34"/>
  <c r="D237" i="34"/>
  <c r="C237" i="34"/>
  <c r="B237" i="34"/>
  <c r="N223" i="34"/>
  <c r="M223" i="34"/>
  <c r="L223" i="34"/>
  <c r="K223" i="34"/>
  <c r="J223" i="34"/>
  <c r="I223" i="34"/>
  <c r="H223" i="34"/>
  <c r="G223" i="34"/>
  <c r="F223" i="34"/>
  <c r="E223" i="34"/>
  <c r="D223" i="34"/>
  <c r="C223" i="34"/>
  <c r="B223" i="34"/>
  <c r="N190" i="34"/>
  <c r="M190" i="34"/>
  <c r="L190" i="34"/>
  <c r="K190" i="34"/>
  <c r="J190" i="34"/>
  <c r="I190" i="34"/>
  <c r="H190" i="34"/>
  <c r="G190" i="34"/>
  <c r="F190" i="34"/>
  <c r="E190" i="34"/>
  <c r="D190" i="34"/>
  <c r="C190" i="34"/>
  <c r="B190" i="34"/>
  <c r="N169" i="34"/>
  <c r="M169" i="34"/>
  <c r="L169" i="34"/>
  <c r="K169" i="34"/>
  <c r="J169" i="34"/>
  <c r="I169" i="34"/>
  <c r="H169" i="34"/>
  <c r="G169" i="34"/>
  <c r="F169" i="34"/>
  <c r="E169" i="34"/>
  <c r="D169" i="34"/>
  <c r="C169" i="34"/>
  <c r="B169" i="34"/>
  <c r="N164" i="34"/>
  <c r="M164" i="34"/>
  <c r="L164" i="34"/>
  <c r="K164" i="34"/>
  <c r="J164" i="34"/>
  <c r="I164" i="34"/>
  <c r="H164" i="34"/>
  <c r="G164" i="34"/>
  <c r="F164" i="34"/>
  <c r="E164" i="34"/>
  <c r="D164" i="34"/>
  <c r="C164" i="34"/>
  <c r="B164" i="34"/>
  <c r="N128" i="34"/>
  <c r="M128" i="34"/>
  <c r="L128" i="34"/>
  <c r="K128" i="34"/>
  <c r="J128" i="34"/>
  <c r="I128" i="34"/>
  <c r="H128" i="34"/>
  <c r="G128" i="34"/>
  <c r="F128" i="34"/>
  <c r="E128" i="34"/>
  <c r="D128" i="34"/>
  <c r="C128" i="34"/>
  <c r="B128" i="34"/>
  <c r="N87" i="34"/>
  <c r="M87" i="34"/>
  <c r="L87" i="34"/>
  <c r="K87" i="34"/>
  <c r="J87" i="34"/>
  <c r="I87" i="34"/>
  <c r="H87" i="34"/>
  <c r="G87" i="34"/>
  <c r="F87" i="34"/>
  <c r="E87" i="34"/>
  <c r="D87" i="34"/>
  <c r="C87" i="34"/>
  <c r="B87" i="34"/>
  <c r="N82" i="34"/>
  <c r="M82" i="34"/>
  <c r="L82" i="34"/>
  <c r="K82" i="34"/>
  <c r="J82" i="34"/>
  <c r="I82" i="34"/>
  <c r="H82" i="34"/>
  <c r="G82" i="34"/>
  <c r="F82" i="34"/>
  <c r="E82" i="34"/>
  <c r="D82" i="34"/>
  <c r="C82" i="34"/>
  <c r="B82" i="34"/>
  <c r="N77" i="34"/>
  <c r="M77" i="34"/>
  <c r="L77" i="34"/>
  <c r="K77" i="34"/>
  <c r="J77" i="34"/>
  <c r="I77" i="34"/>
  <c r="H77" i="34"/>
  <c r="G77" i="34"/>
  <c r="F77" i="34"/>
  <c r="E77" i="34"/>
  <c r="D77" i="34"/>
  <c r="C77" i="34"/>
  <c r="B77" i="34"/>
  <c r="N60" i="34"/>
  <c r="M60" i="34"/>
  <c r="L60" i="34"/>
  <c r="K60" i="34"/>
  <c r="J60" i="34"/>
  <c r="I60" i="34"/>
  <c r="H60" i="34"/>
  <c r="G60" i="34"/>
  <c r="F60" i="34"/>
  <c r="E60" i="34"/>
  <c r="D60" i="34"/>
  <c r="C60" i="34"/>
  <c r="B60" i="34"/>
  <c r="N54" i="34"/>
  <c r="M54" i="34"/>
  <c r="L54" i="34"/>
  <c r="K54" i="34"/>
  <c r="J54" i="34"/>
  <c r="I54" i="34"/>
  <c r="H54" i="34"/>
  <c r="G54" i="34"/>
  <c r="F54" i="34"/>
  <c r="E54" i="34"/>
  <c r="D54" i="34"/>
  <c r="C54" i="34"/>
  <c r="B54" i="34"/>
  <c r="N52" i="34"/>
  <c r="M52" i="34"/>
  <c r="L52" i="34"/>
  <c r="K52" i="34"/>
  <c r="J52" i="34"/>
  <c r="I52" i="34"/>
  <c r="H52" i="34"/>
  <c r="G52" i="34"/>
  <c r="F52" i="34"/>
  <c r="E52" i="34"/>
  <c r="D52" i="34"/>
  <c r="C52" i="34"/>
  <c r="B52" i="34"/>
  <c r="N50" i="34"/>
  <c r="M50" i="34"/>
  <c r="L50" i="34"/>
  <c r="K50" i="34"/>
  <c r="J50" i="34"/>
  <c r="I50" i="34"/>
  <c r="H50" i="34"/>
  <c r="G50" i="34"/>
  <c r="F50" i="34"/>
  <c r="E50" i="34"/>
  <c r="D50" i="34"/>
  <c r="C50" i="34"/>
  <c r="B50" i="34"/>
  <c r="N48" i="34"/>
  <c r="M48" i="34"/>
  <c r="L48" i="34"/>
  <c r="K48" i="34"/>
  <c r="J48" i="34"/>
  <c r="I48" i="34"/>
  <c r="H48" i="34"/>
  <c r="G48" i="34"/>
  <c r="F48" i="34"/>
  <c r="E48" i="34"/>
  <c r="D48" i="34"/>
  <c r="C48" i="34"/>
  <c r="B48" i="34"/>
  <c r="N46" i="34"/>
  <c r="M46" i="34"/>
  <c r="L46" i="34"/>
  <c r="K46" i="34"/>
  <c r="J46" i="34"/>
  <c r="I46" i="34"/>
  <c r="H46" i="34"/>
  <c r="G46" i="34"/>
  <c r="F46" i="34"/>
  <c r="E46" i="34"/>
  <c r="D46" i="34"/>
  <c r="C46" i="34"/>
  <c r="B46" i="34"/>
  <c r="N44" i="34"/>
  <c r="M44" i="34"/>
  <c r="L44" i="34"/>
  <c r="L70" i="34" s="1"/>
  <c r="K44" i="34"/>
  <c r="J44" i="34"/>
  <c r="I44" i="34"/>
  <c r="H44" i="34"/>
  <c r="G44" i="34"/>
  <c r="F44" i="34"/>
  <c r="E44" i="34"/>
  <c r="D44" i="34"/>
  <c r="D70" i="34" s="1"/>
  <c r="C44" i="34"/>
  <c r="B44" i="34"/>
  <c r="N42" i="34"/>
  <c r="M42" i="34"/>
  <c r="L42" i="34"/>
  <c r="K42" i="34"/>
  <c r="J42" i="34"/>
  <c r="I42" i="34"/>
  <c r="H42" i="34"/>
  <c r="G42" i="34"/>
  <c r="F42" i="34"/>
  <c r="E42" i="34"/>
  <c r="D42" i="34"/>
  <c r="C42" i="34"/>
  <c r="B42" i="34"/>
  <c r="N40" i="34"/>
  <c r="N69" i="34" s="1"/>
  <c r="M40" i="34"/>
  <c r="M69" i="34" s="1"/>
  <c r="L40" i="34"/>
  <c r="K40" i="34"/>
  <c r="J40" i="34"/>
  <c r="I40" i="34"/>
  <c r="H40" i="34"/>
  <c r="G40" i="34"/>
  <c r="G69" i="34" s="1"/>
  <c r="F40" i="34"/>
  <c r="F69" i="34" s="1"/>
  <c r="E40" i="34"/>
  <c r="E69" i="34" s="1"/>
  <c r="D40" i="34"/>
  <c r="C40" i="34"/>
  <c r="B40" i="34"/>
  <c r="B69" i="34" s="1"/>
  <c r="N38" i="34"/>
  <c r="M38" i="34"/>
  <c r="L38" i="34"/>
  <c r="K38" i="34"/>
  <c r="J38" i="34"/>
  <c r="I38" i="34"/>
  <c r="H38" i="34"/>
  <c r="G38" i="34"/>
  <c r="F38" i="34"/>
  <c r="E38" i="34"/>
  <c r="D38" i="34"/>
  <c r="C38" i="34"/>
  <c r="B38" i="34"/>
  <c r="N36" i="34"/>
  <c r="M36" i="34"/>
  <c r="L36" i="34"/>
  <c r="K36" i="34"/>
  <c r="J36" i="34"/>
  <c r="I36" i="34"/>
  <c r="H36" i="34"/>
  <c r="G36" i="34"/>
  <c r="F36" i="34"/>
  <c r="E36" i="34"/>
  <c r="D36" i="34"/>
  <c r="C36" i="34"/>
  <c r="B36" i="34"/>
  <c r="N23" i="34"/>
  <c r="M23" i="34"/>
  <c r="L23" i="34"/>
  <c r="K23" i="34"/>
  <c r="J23" i="34"/>
  <c r="I23" i="34"/>
  <c r="H23" i="34"/>
  <c r="G23" i="34"/>
  <c r="F23" i="34"/>
  <c r="E23" i="34"/>
  <c r="D23" i="34"/>
  <c r="C23" i="34"/>
  <c r="B23" i="34"/>
  <c r="E107" i="34" l="1"/>
  <c r="M107" i="34"/>
  <c r="M130" i="34" s="1"/>
  <c r="C70" i="34"/>
  <c r="K70" i="34"/>
  <c r="D107" i="34"/>
  <c r="D130" i="34" s="1"/>
  <c r="H107" i="34"/>
  <c r="H130" i="34" s="1"/>
  <c r="G107" i="34"/>
  <c r="G130" i="34" s="1"/>
  <c r="K107" i="34"/>
  <c r="K130" i="34" s="1"/>
  <c r="J107" i="34"/>
  <c r="D366" i="34"/>
  <c r="G366" i="34"/>
  <c r="J69" i="34"/>
  <c r="I366" i="34"/>
  <c r="H366" i="34"/>
  <c r="J366" i="34"/>
  <c r="C69" i="34"/>
  <c r="K69" i="34"/>
  <c r="B107" i="34"/>
  <c r="B130" i="34" s="1"/>
  <c r="F107" i="34"/>
  <c r="F130" i="34" s="1"/>
  <c r="J130" i="34"/>
  <c r="N107" i="34"/>
  <c r="N130" i="34" s="1"/>
  <c r="L107" i="34"/>
  <c r="L130" i="34" s="1"/>
  <c r="F366" i="34"/>
  <c r="K366" i="34"/>
  <c r="I69" i="34"/>
  <c r="M366" i="34"/>
  <c r="P368" i="34" s="1"/>
  <c r="G70" i="34"/>
  <c r="E366" i="34"/>
  <c r="N366" i="34"/>
  <c r="B70" i="34"/>
  <c r="N70" i="34"/>
  <c r="H69" i="34"/>
  <c r="L69" i="34"/>
  <c r="I107" i="34"/>
  <c r="I130" i="34" s="1"/>
  <c r="L366" i="34"/>
  <c r="I62" i="34"/>
  <c r="I65" i="34" s="1"/>
  <c r="J62" i="34"/>
  <c r="J65" i="34" s="1"/>
  <c r="K62" i="34"/>
  <c r="K65" i="34" s="1"/>
  <c r="D69" i="34"/>
  <c r="L62" i="34"/>
  <c r="L65" i="34" s="1"/>
  <c r="H70" i="34"/>
  <c r="I70" i="34"/>
  <c r="J70" i="34"/>
  <c r="M70" i="34"/>
  <c r="E70" i="34"/>
  <c r="F70" i="34"/>
  <c r="B62" i="34"/>
  <c r="B65" i="34" s="1"/>
  <c r="G62" i="34"/>
  <c r="G65" i="34" s="1"/>
  <c r="H62" i="34"/>
  <c r="H65" i="34" s="1"/>
  <c r="M62" i="34"/>
  <c r="M65" i="34" s="1"/>
  <c r="N62" i="34"/>
  <c r="N65" i="34" s="1"/>
  <c r="D62" i="34"/>
  <c r="D65" i="34" s="1"/>
  <c r="E62" i="34"/>
  <c r="E65" i="34" s="1"/>
  <c r="F62" i="34"/>
  <c r="F65" i="34" s="1"/>
  <c r="B366" i="34"/>
  <c r="C366" i="34"/>
  <c r="E130" i="34"/>
  <c r="C62" i="34"/>
  <c r="C65" i="34" s="1"/>
  <c r="C107" i="34"/>
  <c r="C130" i="34" s="1"/>
  <c r="D8" i="35" l="1"/>
  <c r="C8" i="35"/>
  <c r="E8" i="35" s="1"/>
  <c r="D24" i="35"/>
  <c r="D23" i="35"/>
  <c r="D22" i="35"/>
  <c r="D21" i="35"/>
  <c r="D20" i="35"/>
  <c r="D19" i="35"/>
  <c r="D18" i="35"/>
  <c r="D17" i="35"/>
  <c r="D16" i="35"/>
  <c r="D15" i="35"/>
  <c r="D14" i="35"/>
  <c r="D13" i="35"/>
  <c r="D12" i="35"/>
  <c r="D11" i="35"/>
  <c r="D10" i="35"/>
  <c r="D9" i="35"/>
  <c r="D7" i="35"/>
  <c r="D6" i="35"/>
  <c r="D5" i="35"/>
  <c r="D4" i="35"/>
  <c r="D3" i="35"/>
  <c r="D2" i="35"/>
  <c r="C24" i="35"/>
  <c r="C23" i="35"/>
  <c r="C22" i="35"/>
  <c r="C21" i="35"/>
  <c r="C20" i="35"/>
  <c r="C19" i="35"/>
  <c r="C18" i="35"/>
  <c r="C17" i="35"/>
  <c r="C16" i="35"/>
  <c r="C15" i="35"/>
  <c r="C14" i="35"/>
  <c r="C13" i="35"/>
  <c r="C12" i="35"/>
  <c r="C11" i="35"/>
  <c r="C10" i="35"/>
  <c r="C9" i="35"/>
  <c r="C7" i="35"/>
  <c r="C6" i="35"/>
  <c r="C5" i="35"/>
  <c r="E5" i="35" s="1"/>
  <c r="C4" i="35"/>
  <c r="C3" i="35"/>
  <c r="C2" i="35"/>
  <c r="E3" i="35" l="1"/>
  <c r="E20" i="35"/>
  <c r="E19" i="35"/>
  <c r="E7" i="35"/>
  <c r="E24" i="35"/>
  <c r="E26" i="35" s="1"/>
  <c r="E16" i="35"/>
  <c r="E15" i="35"/>
  <c r="E10" i="35"/>
  <c r="E9" i="35"/>
  <c r="E17" i="35"/>
  <c r="E18" i="35"/>
  <c r="E22" i="35"/>
  <c r="E11" i="35"/>
  <c r="E12" i="35"/>
  <c r="E23" i="35"/>
  <c r="E6" i="35"/>
  <c r="E21" i="35"/>
  <c r="E4" i="35"/>
  <c r="E14" i="35"/>
  <c r="E13" i="35"/>
  <c r="E2" i="35"/>
  <c r="D18" i="2"/>
  <c r="B205" i="1" l="1"/>
  <c r="C12" i="33"/>
  <c r="C18" i="33" s="1"/>
  <c r="D45" i="1"/>
  <c r="E86" i="1"/>
  <c r="E373" i="1"/>
  <c r="E174" i="1"/>
  <c r="E249" i="1"/>
  <c r="E424" i="1"/>
  <c r="E72" i="1"/>
  <c r="E423" i="1"/>
  <c r="E202" i="1"/>
  <c r="E13" i="1"/>
  <c r="E380" i="1"/>
  <c r="D329" i="1"/>
  <c r="E408" i="1"/>
  <c r="E147" i="1"/>
  <c r="E258" i="1"/>
  <c r="E60" i="1"/>
  <c r="E50" i="1"/>
  <c r="E196" i="1"/>
  <c r="E194" i="1"/>
  <c r="E66" i="1"/>
  <c r="E38" i="1"/>
  <c r="D125" i="1"/>
  <c r="E76" i="1"/>
  <c r="D209" i="1"/>
  <c r="E107" i="1"/>
  <c r="D185" i="1"/>
  <c r="E6" i="1"/>
  <c r="E400" i="1"/>
  <c r="E340" i="1"/>
  <c r="E81" i="1"/>
  <c r="E169" i="1"/>
  <c r="E316" i="1"/>
  <c r="E335" i="1"/>
  <c r="E257" i="1"/>
  <c r="E224" i="1"/>
  <c r="E98" i="1"/>
  <c r="E353" i="1"/>
  <c r="E201" i="1"/>
  <c r="E232" i="1"/>
  <c r="E51" i="1"/>
  <c r="E80" i="1"/>
  <c r="D249" i="1"/>
  <c r="E84" i="1"/>
  <c r="E372" i="1"/>
  <c r="E418" i="1"/>
  <c r="D175" i="1"/>
  <c r="E290" i="1"/>
  <c r="E143" i="1"/>
  <c r="E361" i="1"/>
  <c r="E91" i="1"/>
  <c r="E347" i="1"/>
  <c r="E186" i="1"/>
  <c r="E355" i="1"/>
  <c r="E156" i="1"/>
  <c r="E233" i="1"/>
  <c r="E94" i="1"/>
  <c r="E304" i="1"/>
  <c r="E374" i="1"/>
  <c r="E294" i="1"/>
  <c r="E149" i="1"/>
  <c r="E312" i="1"/>
  <c r="E220" i="1"/>
  <c r="E369" i="1"/>
  <c r="E34" i="1"/>
  <c r="E128" i="1"/>
  <c r="E289" i="1"/>
  <c r="E288" i="1"/>
  <c r="E55" i="1"/>
  <c r="E198" i="1"/>
  <c r="E183" i="1"/>
  <c r="E251" i="1"/>
  <c r="E271" i="1"/>
  <c r="E138" i="1"/>
  <c r="E349" i="1"/>
  <c r="E299" i="1"/>
  <c r="E267" i="1"/>
  <c r="D155" i="1"/>
  <c r="E61" i="1"/>
  <c r="E426" i="1"/>
  <c r="E178" i="1"/>
  <c r="E142" i="1"/>
  <c r="E64" i="1"/>
  <c r="E275" i="1"/>
  <c r="E415" i="1"/>
  <c r="E421" i="1"/>
  <c r="E318" i="1"/>
  <c r="E376" i="1"/>
  <c r="E270" i="1"/>
  <c r="E160" i="1"/>
  <c r="E285" i="1"/>
  <c r="E172" i="1"/>
  <c r="E308" i="1"/>
  <c r="E328" i="1"/>
  <c r="E157" i="1"/>
  <c r="E180" i="1"/>
  <c r="E240" i="1"/>
  <c r="E56" i="1"/>
  <c r="E193" i="1"/>
  <c r="E302" i="1"/>
  <c r="E327" i="1"/>
  <c r="E298" i="1"/>
  <c r="E159" i="1"/>
  <c r="D229" i="1"/>
  <c r="E58" i="1"/>
  <c r="E309" i="1"/>
  <c r="E12" i="1"/>
  <c r="E49" i="1"/>
  <c r="E171" i="1"/>
  <c r="E121" i="1"/>
  <c r="E306" i="1"/>
  <c r="E283" i="1"/>
  <c r="E173" i="1"/>
  <c r="E237" i="1"/>
  <c r="E388" i="1"/>
  <c r="E134" i="1"/>
  <c r="E111" i="1"/>
  <c r="E407" i="1"/>
  <c r="E287" i="1"/>
  <c r="E189" i="1"/>
  <c r="E330" i="1"/>
  <c r="E394" i="1"/>
  <c r="E416" i="1"/>
  <c r="E310" i="1"/>
  <c r="D239" i="1"/>
  <c r="E43" i="1"/>
  <c r="E226" i="1"/>
  <c r="E311" i="1"/>
  <c r="E124" i="1"/>
  <c r="E241" i="1"/>
  <c r="E188" i="1"/>
  <c r="D55" i="1"/>
  <c r="E101" i="1"/>
  <c r="D309" i="1"/>
  <c r="E79" i="1"/>
  <c r="E213" i="1"/>
  <c r="E23" i="1"/>
  <c r="E152" i="1"/>
  <c r="E362" i="1"/>
  <c r="E295" i="1"/>
  <c r="E161" i="1"/>
  <c r="E141" i="1"/>
  <c r="E387" i="1"/>
  <c r="E95" i="1"/>
  <c r="E370" i="1"/>
  <c r="E235" i="1"/>
  <c r="E313" i="1"/>
  <c r="E19" i="1"/>
  <c r="E45" i="1"/>
  <c r="E210" i="1"/>
  <c r="E315" i="1"/>
  <c r="E119" i="1"/>
  <c r="E41" i="1"/>
  <c r="E117" i="1"/>
  <c r="D105" i="1"/>
  <c r="E326" i="1"/>
  <c r="E15" i="1"/>
  <c r="E47" i="1"/>
  <c r="D279" i="1"/>
  <c r="E244" i="1"/>
  <c r="E395" i="1"/>
  <c r="E385" i="1"/>
  <c r="E16" i="1"/>
  <c r="E280" i="1"/>
  <c r="E239" i="1"/>
  <c r="E425" i="1"/>
  <c r="E57" i="1"/>
  <c r="E153" i="1"/>
  <c r="E419" i="1"/>
  <c r="E82" i="1"/>
  <c r="E100" i="1"/>
  <c r="E428" i="1"/>
  <c r="E393" i="1"/>
  <c r="E62" i="1"/>
  <c r="E342" i="1"/>
  <c r="E420" i="1"/>
  <c r="E190" i="1"/>
  <c r="E9" i="1"/>
  <c r="E46" i="1"/>
  <c r="E360" i="1"/>
  <c r="E59" i="1"/>
  <c r="E317" i="1"/>
  <c r="E52" i="1"/>
  <c r="E20" i="1"/>
  <c r="E262" i="1"/>
  <c r="E391" i="1"/>
  <c r="E269" i="1"/>
  <c r="E227" i="1"/>
  <c r="E133" i="1"/>
  <c r="E405" i="1"/>
  <c r="E144" i="1"/>
  <c r="E26" i="1"/>
  <c r="E44" i="1"/>
  <c r="E35" i="1"/>
  <c r="E209" i="1"/>
  <c r="E247" i="1"/>
  <c r="E218" i="1"/>
  <c r="E253" i="1"/>
  <c r="D135" i="1"/>
  <c r="D379" i="1"/>
  <c r="D5" i="1"/>
  <c r="D359" i="1"/>
  <c r="E150" i="1"/>
  <c r="E346" i="1"/>
  <c r="E184" i="1"/>
  <c r="E305" i="1"/>
  <c r="E114" i="1"/>
  <c r="E363" i="1"/>
  <c r="D65" i="1"/>
  <c r="D269" i="1"/>
  <c r="E177" i="1"/>
  <c r="E158" i="1"/>
  <c r="E409" i="1"/>
  <c r="E37" i="1"/>
  <c r="E242" i="1"/>
  <c r="E386" i="1"/>
  <c r="E118" i="1"/>
  <c r="E197" i="1"/>
  <c r="E112" i="1"/>
  <c r="E163" i="1"/>
  <c r="E260" i="1"/>
  <c r="E75" i="1"/>
  <c r="D419" i="1"/>
  <c r="E368" i="1"/>
  <c r="E279" i="1"/>
  <c r="E286" i="1"/>
  <c r="E333" i="1"/>
  <c r="E411" i="1"/>
  <c r="E164" i="1"/>
  <c r="E329" i="1"/>
  <c r="E217" i="1"/>
  <c r="E167" i="1"/>
  <c r="E272" i="1"/>
  <c r="E389" i="1"/>
  <c r="D289" i="1"/>
  <c r="E379" i="1"/>
  <c r="E14" i="1"/>
  <c r="E296" i="1"/>
  <c r="E259" i="1"/>
  <c r="D399" i="1"/>
  <c r="E307" i="1"/>
  <c r="E392" i="1"/>
  <c r="E108" i="1"/>
  <c r="E69" i="1"/>
  <c r="E109" i="1"/>
  <c r="E54" i="1"/>
  <c r="E225" i="1"/>
  <c r="E102" i="1"/>
  <c r="D25" i="1"/>
  <c r="E293" i="1"/>
  <c r="E263" i="1"/>
  <c r="E398" i="1"/>
  <c r="E106" i="1"/>
  <c r="E214" i="1"/>
  <c r="E345" i="1"/>
  <c r="E248" i="1"/>
  <c r="E230" i="1"/>
  <c r="E364" i="1"/>
  <c r="E276" i="1"/>
  <c r="E166" i="1"/>
  <c r="E406" i="1"/>
  <c r="D95" i="1"/>
  <c r="E399" i="1"/>
  <c r="D115" i="1"/>
  <c r="E266" i="1"/>
  <c r="E255" i="1"/>
  <c r="E103" i="1"/>
  <c r="E135" i="1"/>
  <c r="D15" i="1"/>
  <c r="E29" i="1"/>
  <c r="E410" i="1"/>
  <c r="E116" i="1"/>
  <c r="E229" i="1"/>
  <c r="E245" i="1"/>
  <c r="E282" i="1"/>
  <c r="E397" i="1"/>
  <c r="E338" i="1"/>
  <c r="E87" i="1"/>
  <c r="E378" i="1"/>
  <c r="E155" i="1"/>
  <c r="E42" i="1"/>
  <c r="E199" i="1"/>
  <c r="E67" i="1"/>
  <c r="E358" i="1"/>
  <c r="E136" i="1"/>
  <c r="E243" i="1"/>
  <c r="E181" i="1"/>
  <c r="E185" i="1"/>
  <c r="D369" i="1"/>
  <c r="D389" i="1"/>
  <c r="E371" i="1"/>
  <c r="E90" i="1"/>
  <c r="E25" i="1"/>
  <c r="E192" i="1"/>
  <c r="E278" i="1"/>
  <c r="E17" i="1"/>
  <c r="E148" i="1"/>
  <c r="E203" i="1"/>
  <c r="E300" i="1"/>
  <c r="E154" i="1"/>
  <c r="E404" i="1"/>
  <c r="E132" i="1"/>
  <c r="E151" i="1"/>
  <c r="E273" i="1"/>
  <c r="E97" i="1"/>
  <c r="E110" i="1"/>
  <c r="E246" i="1"/>
  <c r="D35" i="1"/>
  <c r="E73" i="1"/>
  <c r="E339" i="1"/>
  <c r="E261" i="1"/>
  <c r="E28" i="1"/>
  <c r="E264" i="1"/>
  <c r="E18" i="1"/>
  <c r="E146" i="1"/>
  <c r="E367" i="1"/>
  <c r="E105" i="1"/>
  <c r="E96" i="1"/>
  <c r="E74" i="1"/>
  <c r="E250" i="1"/>
  <c r="E182" i="1"/>
  <c r="E53" i="1"/>
  <c r="D219" i="1"/>
  <c r="E427" i="1"/>
  <c r="E222" i="1"/>
  <c r="E334" i="1"/>
  <c r="E319" i="1"/>
  <c r="E301" i="1"/>
  <c r="E212" i="1"/>
  <c r="E252" i="1"/>
  <c r="E350" i="1"/>
  <c r="E256" i="1"/>
  <c r="E33" i="1"/>
  <c r="E377" i="1"/>
  <c r="D349" i="1"/>
  <c r="E414" i="1"/>
  <c r="E70" i="1"/>
  <c r="E281" i="1"/>
  <c r="E39" i="1"/>
  <c r="E99" i="1"/>
  <c r="E8" i="1"/>
  <c r="E123" i="1"/>
  <c r="E195" i="1"/>
  <c r="E200" i="1"/>
  <c r="E32" i="1"/>
  <c r="E228" i="1"/>
  <c r="E170" i="1"/>
  <c r="E115" i="1"/>
  <c r="E284" i="1"/>
  <c r="E125" i="1"/>
  <c r="E139" i="1"/>
  <c r="D195" i="1"/>
  <c r="E92" i="1"/>
  <c r="E221" i="1"/>
  <c r="E337" i="1"/>
  <c r="D339" i="1"/>
  <c r="E89" i="1"/>
  <c r="E332" i="1"/>
  <c r="E277" i="1"/>
  <c r="E303" i="1"/>
  <c r="E322" i="1"/>
  <c r="E211" i="1"/>
  <c r="D259" i="1"/>
  <c r="E365" i="1"/>
  <c r="E323" i="1"/>
  <c r="E343" i="1"/>
  <c r="E78" i="1"/>
  <c r="E223" i="1"/>
  <c r="E351" i="1"/>
  <c r="E357" i="1"/>
  <c r="E162" i="1"/>
  <c r="E24" i="1"/>
  <c r="E344" i="1"/>
  <c r="E324" i="1"/>
  <c r="E366" i="1"/>
  <c r="E354" i="1"/>
  <c r="E336" i="1"/>
  <c r="E145" i="1"/>
  <c r="E219" i="1"/>
  <c r="D165" i="1"/>
  <c r="E331" i="1"/>
  <c r="D75" i="1"/>
  <c r="E65" i="1"/>
  <c r="E40" i="1"/>
  <c r="E356" i="1"/>
  <c r="E165" i="1"/>
  <c r="E120" i="1"/>
  <c r="E130" i="1"/>
  <c r="E390" i="1"/>
  <c r="E396" i="1"/>
  <c r="E179" i="1"/>
  <c r="E403" i="1"/>
  <c r="E11" i="1"/>
  <c r="E93" i="1"/>
  <c r="E127" i="1"/>
  <c r="E359" i="1"/>
  <c r="E297" i="1"/>
  <c r="E265" i="1"/>
  <c r="E325" i="1"/>
  <c r="E216" i="1"/>
  <c r="E215" i="1"/>
  <c r="E384" i="1"/>
  <c r="E274" i="1"/>
  <c r="E292" i="1"/>
  <c r="E341" i="1"/>
  <c r="E381" i="1"/>
  <c r="E187" i="1"/>
  <c r="E10" i="1"/>
  <c r="E234" i="1"/>
  <c r="E383" i="1"/>
  <c r="E422" i="1"/>
  <c r="E417" i="1"/>
  <c r="E168" i="1"/>
  <c r="E352" i="1"/>
  <c r="E7" i="1"/>
  <c r="E30" i="1"/>
  <c r="E254" i="1"/>
  <c r="E176" i="1"/>
  <c r="E104" i="1"/>
  <c r="E22" i="1"/>
  <c r="E140" i="1"/>
  <c r="E27" i="1"/>
  <c r="E236" i="1"/>
  <c r="E375" i="1"/>
  <c r="E21" i="1"/>
  <c r="E382" i="1"/>
  <c r="E48" i="1"/>
  <c r="E314" i="1"/>
  <c r="D145" i="1"/>
  <c r="E320" i="1"/>
  <c r="E291" i="1"/>
  <c r="E122" i="1"/>
  <c r="D409" i="1"/>
  <c r="E68" i="1"/>
  <c r="E175" i="1"/>
  <c r="E402" i="1"/>
  <c r="E85" i="1"/>
  <c r="E63" i="1"/>
  <c r="E348" i="1"/>
  <c r="E129" i="1"/>
  <c r="E77" i="1"/>
  <c r="E113" i="1"/>
  <c r="E321" i="1"/>
  <c r="D85" i="1"/>
  <c r="E88" i="1"/>
  <c r="D299" i="1"/>
  <c r="E83" i="1"/>
  <c r="E238" i="1"/>
  <c r="E36" i="1"/>
  <c r="D319" i="1"/>
  <c r="E31" i="1"/>
  <c r="E71" i="1"/>
  <c r="E412" i="1"/>
  <c r="E191" i="1"/>
  <c r="E204" i="1"/>
  <c r="E231" i="1"/>
  <c r="E401" i="1"/>
  <c r="E5" i="1"/>
  <c r="E131" i="1"/>
  <c r="E268" i="1"/>
  <c r="E413" i="1"/>
  <c r="E137" i="1"/>
  <c r="E126" i="1"/>
  <c r="A205" i="1"/>
  <c r="C319" i="1" l="1"/>
  <c r="C320" i="1" s="1"/>
  <c r="C321" i="1" s="1"/>
  <c r="C322" i="1" s="1"/>
  <c r="C323" i="1" s="1"/>
  <c r="C324" i="1" s="1"/>
  <c r="C325" i="1" s="1"/>
  <c r="C326" i="1" s="1"/>
  <c r="C327" i="1" s="1"/>
  <c r="C328" i="1" s="1"/>
  <c r="C299" i="1"/>
  <c r="C300" i="1" s="1"/>
  <c r="C301" i="1" s="1"/>
  <c r="C302" i="1" s="1"/>
  <c r="C303" i="1" s="1"/>
  <c r="C304" i="1" s="1"/>
  <c r="C305" i="1" s="1"/>
  <c r="C306" i="1" s="1"/>
  <c r="C307" i="1" s="1"/>
  <c r="C308" i="1" s="1"/>
  <c r="C85" i="1"/>
  <c r="C86" i="1" s="1"/>
  <c r="C87" i="1" s="1"/>
  <c r="C88" i="1" s="1"/>
  <c r="C89" i="1" s="1"/>
  <c r="C90" i="1" s="1"/>
  <c r="C91" i="1" s="1"/>
  <c r="C92" i="1" s="1"/>
  <c r="C93" i="1" s="1"/>
  <c r="C94" i="1" s="1"/>
  <c r="C409" i="1"/>
  <c r="C410" i="1" s="1"/>
  <c r="C411" i="1" s="1"/>
  <c r="C412" i="1" s="1"/>
  <c r="C413" i="1" s="1"/>
  <c r="C414" i="1" s="1"/>
  <c r="C415" i="1" s="1"/>
  <c r="C416" i="1" s="1"/>
  <c r="C417" i="1" s="1"/>
  <c r="C418" i="1" s="1"/>
  <c r="C145" i="1"/>
  <c r="C146" i="1" s="1"/>
  <c r="C147" i="1" s="1"/>
  <c r="C148" i="1" s="1"/>
  <c r="C149" i="1" s="1"/>
  <c r="C150" i="1" s="1"/>
  <c r="C151" i="1" s="1"/>
  <c r="C152" i="1" s="1"/>
  <c r="C153" i="1" s="1"/>
  <c r="C154" i="1" s="1"/>
  <c r="C75" i="1"/>
  <c r="C76" i="1" s="1"/>
  <c r="C77" i="1" s="1"/>
  <c r="C78" i="1" s="1"/>
  <c r="C79" i="1" s="1"/>
  <c r="C80" i="1" s="1"/>
  <c r="C81" i="1" s="1"/>
  <c r="C82" i="1" s="1"/>
  <c r="C83" i="1" s="1"/>
  <c r="C84" i="1" s="1"/>
  <c r="C165" i="1"/>
  <c r="C166" i="1" s="1"/>
  <c r="C167" i="1" s="1"/>
  <c r="C168" i="1" s="1"/>
  <c r="C169" i="1" s="1"/>
  <c r="C170" i="1" s="1"/>
  <c r="C171" i="1" s="1"/>
  <c r="C172" i="1" s="1"/>
  <c r="C173" i="1" s="1"/>
  <c r="C174" i="1" s="1"/>
  <c r="C259" i="1"/>
  <c r="C260" i="1" s="1"/>
  <c r="C261" i="1" s="1"/>
  <c r="C262" i="1" s="1"/>
  <c r="C263" i="1" s="1"/>
  <c r="C264" i="1" s="1"/>
  <c r="C265" i="1" s="1"/>
  <c r="C266" i="1" s="1"/>
  <c r="C267" i="1" s="1"/>
  <c r="C268" i="1" s="1"/>
  <c r="C339" i="1"/>
  <c r="C340" i="1" s="1"/>
  <c r="C341" i="1" s="1"/>
  <c r="C342" i="1" s="1"/>
  <c r="C343" i="1" s="1"/>
  <c r="C344" i="1" s="1"/>
  <c r="C345" i="1" s="1"/>
  <c r="C346" i="1" s="1"/>
  <c r="C347" i="1" s="1"/>
  <c r="C348" i="1" s="1"/>
  <c r="C195" i="1"/>
  <c r="C196" i="1" s="1"/>
  <c r="C197" i="1" s="1"/>
  <c r="C198" i="1" s="1"/>
  <c r="C199" i="1" s="1"/>
  <c r="C200" i="1" s="1"/>
  <c r="C201" i="1" s="1"/>
  <c r="C202" i="1" s="1"/>
  <c r="C203" i="1" s="1"/>
  <c r="C204" i="1" s="1"/>
  <c r="C349" i="1"/>
  <c r="C350" i="1" s="1"/>
  <c r="C351" i="1" s="1"/>
  <c r="C352" i="1" s="1"/>
  <c r="C353" i="1" s="1"/>
  <c r="C354" i="1" s="1"/>
  <c r="C355" i="1" s="1"/>
  <c r="C356" i="1" s="1"/>
  <c r="C357" i="1" s="1"/>
  <c r="C358" i="1" s="1"/>
  <c r="C219" i="1"/>
  <c r="C220" i="1" s="1"/>
  <c r="C221" i="1" s="1"/>
  <c r="C222" i="1" s="1"/>
  <c r="C223" i="1" s="1"/>
  <c r="C224" i="1" s="1"/>
  <c r="C225" i="1" s="1"/>
  <c r="C226" i="1" s="1"/>
  <c r="C227" i="1" s="1"/>
  <c r="C228" i="1" s="1"/>
  <c r="C35" i="1"/>
  <c r="C36" i="1" s="1"/>
  <c r="C37" i="1" s="1"/>
  <c r="C38" i="1" s="1"/>
  <c r="C39" i="1" s="1"/>
  <c r="C40" i="1" s="1"/>
  <c r="C41" i="1" s="1"/>
  <c r="C42" i="1" s="1"/>
  <c r="C43" i="1" s="1"/>
  <c r="C44" i="1" s="1"/>
  <c r="C389" i="1"/>
  <c r="C390" i="1" s="1"/>
  <c r="C391" i="1" s="1"/>
  <c r="C392" i="1" s="1"/>
  <c r="C393" i="1" s="1"/>
  <c r="C394" i="1" s="1"/>
  <c r="C395" i="1" s="1"/>
  <c r="C396" i="1" s="1"/>
  <c r="C397" i="1" s="1"/>
  <c r="C398" i="1" s="1"/>
  <c r="C369" i="1"/>
  <c r="C370" i="1" s="1"/>
  <c r="C371" i="1" s="1"/>
  <c r="C372" i="1" s="1"/>
  <c r="C373" i="1" s="1"/>
  <c r="C374" i="1" s="1"/>
  <c r="C375" i="1" s="1"/>
  <c r="C376" i="1" s="1"/>
  <c r="C377" i="1" s="1"/>
  <c r="C378" i="1" s="1"/>
  <c r="C15" i="1"/>
  <c r="C16" i="1" s="1"/>
  <c r="C17" i="1" s="1"/>
  <c r="C18" i="1" s="1"/>
  <c r="C19" i="1" s="1"/>
  <c r="C20" i="1" s="1"/>
  <c r="C21" i="1" s="1"/>
  <c r="C22" i="1" s="1"/>
  <c r="C23" i="1" s="1"/>
  <c r="C24" i="1" s="1"/>
  <c r="C115" i="1"/>
  <c r="C116" i="1" s="1"/>
  <c r="C117" i="1" s="1"/>
  <c r="C118" i="1" s="1"/>
  <c r="C119" i="1" s="1"/>
  <c r="C120" i="1" s="1"/>
  <c r="C121" i="1" s="1"/>
  <c r="C122" i="1" s="1"/>
  <c r="C123" i="1" s="1"/>
  <c r="C124" i="1" s="1"/>
  <c r="C95" i="1"/>
  <c r="C96" i="1" s="1"/>
  <c r="C97" i="1" s="1"/>
  <c r="C98" i="1" s="1"/>
  <c r="C99" i="1" s="1"/>
  <c r="C100" i="1" s="1"/>
  <c r="C101" i="1" s="1"/>
  <c r="C102" i="1" s="1"/>
  <c r="C103" i="1" s="1"/>
  <c r="C104" i="1" s="1"/>
  <c r="C25" i="1"/>
  <c r="C26" i="1" s="1"/>
  <c r="C27" i="1" s="1"/>
  <c r="C28" i="1" s="1"/>
  <c r="C29" i="1" s="1"/>
  <c r="C30" i="1" s="1"/>
  <c r="C31" i="1" s="1"/>
  <c r="C32" i="1" s="1"/>
  <c r="C33" i="1" s="1"/>
  <c r="C34" i="1" s="1"/>
  <c r="C399" i="1"/>
  <c r="C400" i="1" s="1"/>
  <c r="C401" i="1" s="1"/>
  <c r="C402" i="1" s="1"/>
  <c r="C403" i="1" s="1"/>
  <c r="C404" i="1" s="1"/>
  <c r="C405" i="1" s="1"/>
  <c r="C406" i="1" s="1"/>
  <c r="C407" i="1" s="1"/>
  <c r="C408" i="1" s="1"/>
  <c r="C289" i="1"/>
  <c r="C290" i="1" s="1"/>
  <c r="C291" i="1" s="1"/>
  <c r="C292" i="1" s="1"/>
  <c r="C293" i="1" s="1"/>
  <c r="C294" i="1" s="1"/>
  <c r="C295" i="1" s="1"/>
  <c r="C296" i="1" s="1"/>
  <c r="C297" i="1" s="1"/>
  <c r="C298" i="1" s="1"/>
  <c r="C419" i="1"/>
  <c r="C420" i="1" s="1"/>
  <c r="C421" i="1" s="1"/>
  <c r="C422" i="1" s="1"/>
  <c r="C423" i="1" s="1"/>
  <c r="C424" i="1" s="1"/>
  <c r="C425" i="1" s="1"/>
  <c r="C426" i="1" s="1"/>
  <c r="C427" i="1" s="1"/>
  <c r="C428" i="1" s="1"/>
  <c r="C429" i="1" s="1"/>
  <c r="C430" i="1" s="1"/>
  <c r="C431" i="1" s="1"/>
  <c r="C432" i="1" s="1"/>
  <c r="C433" i="1" s="1"/>
  <c r="C434" i="1" s="1"/>
  <c r="C435" i="1" s="1"/>
  <c r="C436" i="1" s="1"/>
  <c r="C437" i="1" s="1"/>
  <c r="C438" i="1" s="1"/>
  <c r="C439" i="1" s="1"/>
  <c r="C440" i="1" s="1"/>
  <c r="C441" i="1" s="1"/>
  <c r="C442" i="1" s="1"/>
  <c r="C443" i="1" s="1"/>
  <c r="C444" i="1" s="1"/>
  <c r="C269" i="1"/>
  <c r="C270" i="1" s="1"/>
  <c r="C271" i="1" s="1"/>
  <c r="C272" i="1" s="1"/>
  <c r="C273" i="1" s="1"/>
  <c r="C274" i="1" s="1"/>
  <c r="C275" i="1" s="1"/>
  <c r="C276" i="1" s="1"/>
  <c r="C277" i="1" s="1"/>
  <c r="C278" i="1" s="1"/>
  <c r="C65" i="1"/>
  <c r="C66" i="1" s="1"/>
  <c r="C67" i="1" s="1"/>
  <c r="C68" i="1" s="1"/>
  <c r="C69" i="1" s="1"/>
  <c r="C70" i="1" s="1"/>
  <c r="C71" i="1" s="1"/>
  <c r="C72" i="1" s="1"/>
  <c r="C73" i="1" s="1"/>
  <c r="C74" i="1" s="1"/>
  <c r="C359" i="1"/>
  <c r="C360" i="1" s="1"/>
  <c r="C361" i="1" s="1"/>
  <c r="C362" i="1" s="1"/>
  <c r="C363" i="1" s="1"/>
  <c r="C364" i="1" s="1"/>
  <c r="C365" i="1" s="1"/>
  <c r="C366" i="1" s="1"/>
  <c r="C367" i="1" s="1"/>
  <c r="C368" i="1" s="1"/>
  <c r="C379" i="1"/>
  <c r="C380" i="1" s="1"/>
  <c r="C381" i="1" s="1"/>
  <c r="C382" i="1" s="1"/>
  <c r="C383" i="1" s="1"/>
  <c r="C384" i="1" s="1"/>
  <c r="C385" i="1" s="1"/>
  <c r="C386" i="1" s="1"/>
  <c r="C387" i="1" s="1"/>
  <c r="C388" i="1" s="1"/>
  <c r="C135" i="1"/>
  <c r="C136" i="1" s="1"/>
  <c r="C137" i="1" s="1"/>
  <c r="C138" i="1" s="1"/>
  <c r="C139" i="1" s="1"/>
  <c r="C140" i="1" s="1"/>
  <c r="C141" i="1" s="1"/>
  <c r="C142" i="1" s="1"/>
  <c r="C143" i="1" s="1"/>
  <c r="C144" i="1" s="1"/>
  <c r="C279" i="1"/>
  <c r="C280" i="1" s="1"/>
  <c r="C281" i="1" s="1"/>
  <c r="C282" i="1" s="1"/>
  <c r="C283" i="1" s="1"/>
  <c r="C284" i="1" s="1"/>
  <c r="C285" i="1" s="1"/>
  <c r="C286" i="1" s="1"/>
  <c r="C287" i="1" s="1"/>
  <c r="C288" i="1" s="1"/>
  <c r="C105" i="1"/>
  <c r="C106" i="1" s="1"/>
  <c r="C107" i="1" s="1"/>
  <c r="C108" i="1" s="1"/>
  <c r="C109" i="1" s="1"/>
  <c r="C110" i="1" s="1"/>
  <c r="C111" i="1" s="1"/>
  <c r="C112" i="1" s="1"/>
  <c r="C113" i="1" s="1"/>
  <c r="C114" i="1" s="1"/>
  <c r="C309" i="1"/>
  <c r="C310" i="1" s="1"/>
  <c r="C311" i="1" s="1"/>
  <c r="C312" i="1" s="1"/>
  <c r="C313" i="1" s="1"/>
  <c r="C314" i="1" s="1"/>
  <c r="C315" i="1" s="1"/>
  <c r="C316" i="1" s="1"/>
  <c r="C317" i="1" s="1"/>
  <c r="C318" i="1" s="1"/>
  <c r="C55" i="1"/>
  <c r="C56" i="1" s="1"/>
  <c r="C57" i="1" s="1"/>
  <c r="C58" i="1" s="1"/>
  <c r="C59" i="1" s="1"/>
  <c r="C60" i="1" s="1"/>
  <c r="C61" i="1" s="1"/>
  <c r="C62" i="1" s="1"/>
  <c r="C63" i="1" s="1"/>
  <c r="C64" i="1" s="1"/>
  <c r="C239" i="1"/>
  <c r="C240" i="1" s="1"/>
  <c r="C241" i="1" s="1"/>
  <c r="C242" i="1" s="1"/>
  <c r="C243" i="1" s="1"/>
  <c r="C244" i="1" s="1"/>
  <c r="C245" i="1" s="1"/>
  <c r="C246" i="1" s="1"/>
  <c r="C247" i="1" s="1"/>
  <c r="C248" i="1" s="1"/>
  <c r="C229" i="1"/>
  <c r="C230" i="1" s="1"/>
  <c r="C231" i="1" s="1"/>
  <c r="C232" i="1" s="1"/>
  <c r="C233" i="1" s="1"/>
  <c r="C234" i="1" s="1"/>
  <c r="C235" i="1" s="1"/>
  <c r="C236" i="1" s="1"/>
  <c r="C237" i="1" s="1"/>
  <c r="C238" i="1" s="1"/>
  <c r="C155" i="1"/>
  <c r="C156" i="1" s="1"/>
  <c r="C157" i="1" s="1"/>
  <c r="C158" i="1" s="1"/>
  <c r="C159" i="1" s="1"/>
  <c r="C160" i="1" s="1"/>
  <c r="C161" i="1" s="1"/>
  <c r="C162" i="1" s="1"/>
  <c r="C163" i="1" s="1"/>
  <c r="C164" i="1" s="1"/>
  <c r="C175" i="1"/>
  <c r="C176" i="1" s="1"/>
  <c r="C177" i="1" s="1"/>
  <c r="C178" i="1" s="1"/>
  <c r="C179" i="1" s="1"/>
  <c r="C180" i="1" s="1"/>
  <c r="C181" i="1" s="1"/>
  <c r="C182" i="1" s="1"/>
  <c r="C183" i="1" s="1"/>
  <c r="C184" i="1" s="1"/>
  <c r="C249" i="1"/>
  <c r="C250" i="1" s="1"/>
  <c r="C251" i="1" s="1"/>
  <c r="C252" i="1" s="1"/>
  <c r="C253" i="1" s="1"/>
  <c r="C254" i="1" s="1"/>
  <c r="C255" i="1" s="1"/>
  <c r="C256" i="1" s="1"/>
  <c r="C257" i="1" s="1"/>
  <c r="C258" i="1" s="1"/>
  <c r="C185" i="1"/>
  <c r="C186" i="1" s="1"/>
  <c r="C187" i="1" s="1"/>
  <c r="C188" i="1" s="1"/>
  <c r="C189" i="1" s="1"/>
  <c r="C190" i="1" s="1"/>
  <c r="C191" i="1" s="1"/>
  <c r="C192" i="1" s="1"/>
  <c r="C193" i="1" s="1"/>
  <c r="C194" i="1" s="1"/>
  <c r="C209" i="1"/>
  <c r="C210" i="1" s="1"/>
  <c r="C211" i="1" s="1"/>
  <c r="C212" i="1" s="1"/>
  <c r="C213" i="1" s="1"/>
  <c r="C214" i="1" s="1"/>
  <c r="C215" i="1" s="1"/>
  <c r="C216" i="1" s="1"/>
  <c r="C217" i="1" s="1"/>
  <c r="C218" i="1" s="1"/>
  <c r="C125" i="1"/>
  <c r="C126" i="1" s="1"/>
  <c r="C127" i="1" s="1"/>
  <c r="C128" i="1" s="1"/>
  <c r="C129" i="1" s="1"/>
  <c r="C130" i="1" s="1"/>
  <c r="C131" i="1" s="1"/>
  <c r="C132" i="1" s="1"/>
  <c r="C133" i="1" s="1"/>
  <c r="C134" i="1" s="1"/>
  <c r="C329" i="1"/>
  <c r="C330" i="1" s="1"/>
  <c r="C331" i="1" s="1"/>
  <c r="C332" i="1" s="1"/>
  <c r="C333" i="1" s="1"/>
  <c r="C334" i="1" s="1"/>
  <c r="C335" i="1" s="1"/>
  <c r="C336" i="1" s="1"/>
  <c r="C337" i="1" s="1"/>
  <c r="C338" i="1" s="1"/>
  <c r="C45" i="1"/>
  <c r="C46" i="1" s="1"/>
  <c r="C47" i="1" s="1"/>
  <c r="C48" i="1" s="1"/>
  <c r="C49" i="1" s="1"/>
  <c r="C50" i="1" s="1"/>
  <c r="C51" i="1" s="1"/>
  <c r="C52" i="1" s="1"/>
  <c r="C53" i="1" s="1"/>
  <c r="C54" i="1" s="1"/>
  <c r="B375" i="1"/>
  <c r="B295" i="1"/>
  <c r="C5" i="1"/>
  <c r="B385" i="1"/>
  <c r="B105" i="1"/>
  <c r="B315" i="1"/>
  <c r="B335" i="1"/>
  <c r="B85" i="1"/>
  <c r="B395" i="1"/>
  <c r="B235" i="1"/>
  <c r="B415" i="1"/>
  <c r="B15" i="1"/>
  <c r="B45" i="1"/>
  <c r="B55" i="1"/>
  <c r="B425" i="1"/>
  <c r="B225" i="1"/>
  <c r="B355" i="1"/>
  <c r="B35" i="1"/>
  <c r="B285" i="1"/>
  <c r="B125" i="1"/>
  <c r="B325" i="1"/>
  <c r="B245" i="1"/>
  <c r="B155" i="1"/>
  <c r="B175" i="1"/>
  <c r="B405" i="1"/>
  <c r="B165" i="1"/>
  <c r="B135" i="1"/>
  <c r="B206" i="1"/>
  <c r="C14" i="33"/>
  <c r="C19" i="33" s="1"/>
  <c r="A325" i="1"/>
  <c r="A145" i="1"/>
  <c r="A345" i="1"/>
  <c r="A35" i="1"/>
  <c r="A115" i="1"/>
  <c r="A295" i="1"/>
  <c r="A365" i="1"/>
  <c r="A245" i="1"/>
  <c r="A335" i="1"/>
  <c r="A95" i="1"/>
  <c r="A5" i="1"/>
  <c r="A105" i="1"/>
  <c r="A185" i="1"/>
  <c r="A315" i="1"/>
  <c r="A206" i="1"/>
  <c r="A305" i="1"/>
  <c r="A425" i="1"/>
  <c r="A45" i="1"/>
  <c r="A275" i="1"/>
  <c r="A85" i="1"/>
  <c r="A165" i="1"/>
  <c r="A355" i="1"/>
  <c r="A375" i="1"/>
  <c r="A385" i="1"/>
  <c r="A415" i="1"/>
  <c r="A265" i="1"/>
  <c r="A225" i="1"/>
  <c r="A15" i="1"/>
  <c r="A405" i="1"/>
  <c r="A65" i="1"/>
  <c r="A135" i="1"/>
  <c r="A55" i="1"/>
  <c r="A175" i="1"/>
  <c r="A125" i="1"/>
  <c r="A285" i="1"/>
  <c r="A255" i="1"/>
  <c r="A75" i="1"/>
  <c r="A195" i="1"/>
  <c r="A395" i="1"/>
  <c r="A235" i="1"/>
  <c r="A25" i="1"/>
  <c r="A155" i="1"/>
  <c r="A215" i="1"/>
  <c r="B5" i="1" l="1"/>
  <c r="C6" i="1"/>
  <c r="C7" i="1" s="1"/>
  <c r="C8" i="1" s="1"/>
  <c r="C9" i="1" s="1"/>
  <c r="C10" i="1" s="1"/>
  <c r="C11" i="1" s="1"/>
  <c r="C12" i="1" s="1"/>
  <c r="C13" i="1" s="1"/>
  <c r="C14" i="1" s="1"/>
  <c r="B215" i="1"/>
  <c r="B195" i="1"/>
  <c r="B75" i="1"/>
  <c r="B255" i="1"/>
  <c r="B136" i="1"/>
  <c r="B65" i="1"/>
  <c r="B265" i="1"/>
  <c r="B25" i="1"/>
  <c r="B275" i="1"/>
  <c r="B185" i="1"/>
  <c r="B95" i="1"/>
  <c r="B305" i="1"/>
  <c r="B365" i="1"/>
  <c r="B115" i="1"/>
  <c r="B345" i="1"/>
  <c r="B145" i="1"/>
  <c r="B306" i="1"/>
  <c r="B406" i="1"/>
  <c r="B276" i="1"/>
  <c r="B26" i="1"/>
  <c r="B216" i="1"/>
  <c r="B46" i="1"/>
  <c r="B207" i="1"/>
  <c r="D31" i="2"/>
  <c r="D42" i="2" s="1"/>
  <c r="D30" i="2"/>
  <c r="D41" i="2" s="1"/>
  <c r="D52" i="2" s="1"/>
  <c r="D29" i="2"/>
  <c r="D40" i="2" s="1"/>
  <c r="D51" i="2" s="1"/>
  <c r="D28" i="2"/>
  <c r="D39" i="2" s="1"/>
  <c r="D50" i="2" s="1"/>
  <c r="D27" i="2"/>
  <c r="D38" i="2" s="1"/>
  <c r="D49" i="2" s="1"/>
  <c r="D26" i="2"/>
  <c r="D37" i="2" s="1"/>
  <c r="D48" i="2" s="1"/>
  <c r="D25" i="2"/>
  <c r="D36" i="2" s="1"/>
  <c r="D47" i="2" s="1"/>
  <c r="D24" i="2"/>
  <c r="D35" i="2" s="1"/>
  <c r="D46" i="2" s="1"/>
  <c r="D23" i="2"/>
  <c r="D34" i="2" s="1"/>
  <c r="D45" i="2" s="1"/>
  <c r="D22" i="2"/>
  <c r="D33" i="2" s="1"/>
  <c r="D44" i="2" s="1"/>
  <c r="D21" i="2"/>
  <c r="D32" i="2" s="1"/>
  <c r="D43" i="2" s="1"/>
  <c r="A216" i="1"/>
  <c r="A236" i="1"/>
  <c r="A76" i="1"/>
  <c r="A136" i="1"/>
  <c r="A16" i="1"/>
  <c r="A416" i="1"/>
  <c r="A166" i="1"/>
  <c r="A46" i="1"/>
  <c r="A6" i="1"/>
  <c r="A336" i="1"/>
  <c r="A296" i="1"/>
  <c r="A346" i="1"/>
  <c r="A396" i="1"/>
  <c r="A126" i="1"/>
  <c r="A66" i="1"/>
  <c r="A226" i="1"/>
  <c r="A386" i="1"/>
  <c r="A86" i="1"/>
  <c r="A426" i="1"/>
  <c r="A186" i="1"/>
  <c r="A96" i="1"/>
  <c r="A246" i="1"/>
  <c r="A116" i="1"/>
  <c r="A207" i="1"/>
  <c r="A156" i="1"/>
  <c r="A196" i="1"/>
  <c r="A256" i="1"/>
  <c r="A176" i="1"/>
  <c r="A266" i="1"/>
  <c r="A376" i="1"/>
  <c r="A276" i="1"/>
  <c r="A306" i="1"/>
  <c r="A366" i="1"/>
  <c r="A146" i="1"/>
  <c r="A26" i="1"/>
  <c r="A286" i="1"/>
  <c r="A56" i="1"/>
  <c r="A406" i="1"/>
  <c r="A356" i="1"/>
  <c r="A316" i="1"/>
  <c r="A106" i="1"/>
  <c r="A36" i="1"/>
  <c r="A326" i="1"/>
  <c r="B326" i="1" l="1"/>
  <c r="B36" i="1"/>
  <c r="B106" i="1"/>
  <c r="B316" i="1"/>
  <c r="B356" i="1"/>
  <c r="B56" i="1"/>
  <c r="B286" i="1"/>
  <c r="B146" i="1"/>
  <c r="B366" i="1"/>
  <c r="B376" i="1"/>
  <c r="B266" i="1"/>
  <c r="B176" i="1"/>
  <c r="B256" i="1"/>
  <c r="B196" i="1"/>
  <c r="B156" i="1"/>
  <c r="B116" i="1"/>
  <c r="B246" i="1"/>
  <c r="B96" i="1"/>
  <c r="B186" i="1"/>
  <c r="B426" i="1"/>
  <c r="B86" i="1"/>
  <c r="B386" i="1"/>
  <c r="B226" i="1"/>
  <c r="B66" i="1"/>
  <c r="B126" i="1"/>
  <c r="B396" i="1"/>
  <c r="B346" i="1"/>
  <c r="B296" i="1"/>
  <c r="B337" i="1"/>
  <c r="B336" i="1"/>
  <c r="B6" i="1"/>
  <c r="B166" i="1"/>
  <c r="B416" i="1"/>
  <c r="B17" i="1"/>
  <c r="B16" i="1"/>
  <c r="B77" i="1"/>
  <c r="B76" i="1"/>
  <c r="B236" i="1"/>
  <c r="D54" i="2"/>
  <c r="D59" i="2"/>
  <c r="D63" i="2"/>
  <c r="D62" i="2"/>
  <c r="D56" i="2"/>
  <c r="D60" i="2"/>
  <c r="D53" i="2"/>
  <c r="D58" i="2"/>
  <c r="D69" i="2" s="1"/>
  <c r="D80" i="2" s="1"/>
  <c r="D91" i="2" s="1"/>
  <c r="D102" i="2" s="1"/>
  <c r="D113" i="2" s="1"/>
  <c r="D124" i="2" s="1"/>
  <c r="D135" i="2" s="1"/>
  <c r="D146" i="2" s="1"/>
  <c r="D157" i="2" s="1"/>
  <c r="D168" i="2" s="1"/>
  <c r="D179" i="2" s="1"/>
  <c r="D190" i="2" s="1"/>
  <c r="D201" i="2" s="1"/>
  <c r="D212" i="2" s="1"/>
  <c r="D223" i="2" s="1"/>
  <c r="D234" i="2" s="1"/>
  <c r="D245" i="2" s="1"/>
  <c r="D256" i="2" s="1"/>
  <c r="D267" i="2" s="1"/>
  <c r="D55" i="2"/>
  <c r="D57" i="2"/>
  <c r="D61" i="2"/>
  <c r="B407" i="1"/>
  <c r="B327" i="1"/>
  <c r="B427" i="1"/>
  <c r="B237" i="1"/>
  <c r="B67" i="1"/>
  <c r="B197" i="1"/>
  <c r="B208" i="1"/>
  <c r="C18" i="2"/>
  <c r="F38" i="2"/>
  <c r="F57" i="2"/>
  <c r="F47" i="2"/>
  <c r="F223" i="2"/>
  <c r="F22" i="2"/>
  <c r="F69" i="2"/>
  <c r="F80" i="2"/>
  <c r="F113" i="2"/>
  <c r="F102" i="2"/>
  <c r="F25" i="2"/>
  <c r="F190" i="2"/>
  <c r="F24" i="2"/>
  <c r="F56" i="2"/>
  <c r="F245" i="2"/>
  <c r="F32" i="2"/>
  <c r="F124" i="2"/>
  <c r="F234" i="2"/>
  <c r="F29" i="2"/>
  <c r="F179" i="2"/>
  <c r="F34" i="2"/>
  <c r="F256" i="2"/>
  <c r="F28" i="2"/>
  <c r="F168" i="2"/>
  <c r="F10" i="2"/>
  <c r="F157" i="2"/>
  <c r="F58" i="2"/>
  <c r="F27" i="2"/>
  <c r="F60" i="2"/>
  <c r="F44" i="2"/>
  <c r="F33" i="2"/>
  <c r="F11" i="2"/>
  <c r="F14" i="2"/>
  <c r="F267" i="2"/>
  <c r="F135" i="2"/>
  <c r="F43" i="2"/>
  <c r="F50" i="2"/>
  <c r="F39" i="2"/>
  <c r="F21" i="2"/>
  <c r="F48" i="2"/>
  <c r="F40" i="2"/>
  <c r="F23" i="2"/>
  <c r="F26" i="2"/>
  <c r="F37" i="2"/>
  <c r="F62" i="2"/>
  <c r="F55" i="2"/>
  <c r="F49" i="2"/>
  <c r="F36" i="2"/>
  <c r="F51" i="2"/>
  <c r="F59" i="2"/>
  <c r="F46" i="2"/>
  <c r="F61" i="2"/>
  <c r="F201" i="2"/>
  <c r="F212" i="2"/>
  <c r="F146" i="2"/>
  <c r="F35" i="2"/>
  <c r="F54" i="2"/>
  <c r="F45" i="2"/>
  <c r="F91" i="2"/>
  <c r="A327" i="1"/>
  <c r="A107" i="1"/>
  <c r="A357" i="1"/>
  <c r="A147" i="1"/>
  <c r="A307" i="1"/>
  <c r="A267" i="1"/>
  <c r="A257" i="1"/>
  <c r="A157" i="1"/>
  <c r="A247" i="1"/>
  <c r="A187" i="1"/>
  <c r="A87" i="1"/>
  <c r="A227" i="1"/>
  <c r="A127" i="1"/>
  <c r="A347" i="1"/>
  <c r="A337" i="1"/>
  <c r="A47" i="1"/>
  <c r="A77" i="1"/>
  <c r="A217" i="1"/>
  <c r="A208" i="1"/>
  <c r="A287" i="1"/>
  <c r="A277" i="1"/>
  <c r="A167" i="1"/>
  <c r="A17" i="1"/>
  <c r="A37" i="1"/>
  <c r="A317" i="1"/>
  <c r="A407" i="1"/>
  <c r="A367" i="1"/>
  <c r="A377" i="1"/>
  <c r="A177" i="1"/>
  <c r="A197" i="1"/>
  <c r="A117" i="1"/>
  <c r="A97" i="1"/>
  <c r="A427" i="1"/>
  <c r="A387" i="1"/>
  <c r="A67" i="1"/>
  <c r="A397" i="1"/>
  <c r="A297" i="1"/>
  <c r="A7" i="1"/>
  <c r="A237" i="1"/>
  <c r="A57" i="1"/>
  <c r="A27" i="1"/>
  <c r="A417" i="1"/>
  <c r="A137" i="1"/>
  <c r="B137" i="1" l="1"/>
  <c r="B417" i="1"/>
  <c r="B27" i="1"/>
  <c r="B57" i="1"/>
  <c r="B7" i="1"/>
  <c r="B297" i="1"/>
  <c r="B397" i="1"/>
  <c r="B387" i="1"/>
  <c r="B97" i="1"/>
  <c r="B117" i="1"/>
  <c r="B177" i="1"/>
  <c r="B377" i="1"/>
  <c r="B367" i="1"/>
  <c r="B317" i="1"/>
  <c r="B37" i="1"/>
  <c r="B167" i="1"/>
  <c r="B277" i="1"/>
  <c r="B288" i="1"/>
  <c r="B287" i="1"/>
  <c r="B217" i="1"/>
  <c r="B47" i="1"/>
  <c r="B347" i="1"/>
  <c r="B127" i="1"/>
  <c r="B227" i="1"/>
  <c r="B87" i="1"/>
  <c r="B187" i="1"/>
  <c r="B247" i="1"/>
  <c r="B157" i="1"/>
  <c r="B257" i="1"/>
  <c r="B267" i="1"/>
  <c r="B307" i="1"/>
  <c r="B147" i="1"/>
  <c r="B357" i="1"/>
  <c r="B107" i="1"/>
  <c r="D68" i="2"/>
  <c r="D71" i="2"/>
  <c r="D73" i="2"/>
  <c r="D70" i="2"/>
  <c r="D72" i="2"/>
  <c r="D66" i="2"/>
  <c r="D64" i="2"/>
  <c r="D75" i="2" s="1"/>
  <c r="D86" i="2" s="1"/>
  <c r="D97" i="2" s="1"/>
  <c r="D108" i="2" s="1"/>
  <c r="D119" i="2" s="1"/>
  <c r="D130" i="2" s="1"/>
  <c r="D141" i="2" s="1"/>
  <c r="D152" i="2" s="1"/>
  <c r="D163" i="2" s="1"/>
  <c r="D174" i="2" s="1"/>
  <c r="D185" i="2" s="1"/>
  <c r="D196" i="2" s="1"/>
  <c r="D207" i="2" s="1"/>
  <c r="D218" i="2" s="1"/>
  <c r="D229" i="2" s="1"/>
  <c r="D240" i="2" s="1"/>
  <c r="D251" i="2" s="1"/>
  <c r="D262" i="2" s="1"/>
  <c r="D273" i="2" s="1"/>
  <c r="D284" i="2" s="1"/>
  <c r="D295" i="2" s="1"/>
  <c r="D306" i="2" s="1"/>
  <c r="D317" i="2" s="1"/>
  <c r="D328" i="2" s="1"/>
  <c r="D339" i="2" s="1"/>
  <c r="D350" i="2" s="1"/>
  <c r="D361" i="2" s="1"/>
  <c r="D372" i="2" s="1"/>
  <c r="D383" i="2" s="1"/>
  <c r="D394" i="2" s="1"/>
  <c r="D405" i="2" s="1"/>
  <c r="D416" i="2" s="1"/>
  <c r="D427" i="2" s="1"/>
  <c r="D438" i="2" s="1"/>
  <c r="D449" i="2" s="1"/>
  <c r="D460" i="2" s="1"/>
  <c r="D471" i="2" s="1"/>
  <c r="D482" i="2" s="1"/>
  <c r="D493" i="2" s="1"/>
  <c r="D504" i="2" s="1"/>
  <c r="D515" i="2" s="1"/>
  <c r="D526" i="2" s="1"/>
  <c r="D537" i="2" s="1"/>
  <c r="D67" i="2"/>
  <c r="D74" i="2"/>
  <c r="D85" i="2" s="1"/>
  <c r="D96" i="2" s="1"/>
  <c r="D107" i="2" s="1"/>
  <c r="D118" i="2" s="1"/>
  <c r="D129" i="2" s="1"/>
  <c r="D140" i="2" s="1"/>
  <c r="D151" i="2" s="1"/>
  <c r="D162" i="2" s="1"/>
  <c r="D173" i="2" s="1"/>
  <c r="D184" i="2" s="1"/>
  <c r="D195" i="2" s="1"/>
  <c r="D206" i="2" s="1"/>
  <c r="D217" i="2" s="1"/>
  <c r="D228" i="2" s="1"/>
  <c r="D239" i="2" s="1"/>
  <c r="D250" i="2" s="1"/>
  <c r="D261" i="2" s="1"/>
  <c r="D272" i="2" s="1"/>
  <c r="D283" i="2" s="1"/>
  <c r="D294" i="2" s="1"/>
  <c r="D305" i="2" s="1"/>
  <c r="D316" i="2" s="1"/>
  <c r="D327" i="2" s="1"/>
  <c r="D338" i="2" s="1"/>
  <c r="D349" i="2" s="1"/>
  <c r="D360" i="2" s="1"/>
  <c r="D371" i="2" s="1"/>
  <c r="D382" i="2" s="1"/>
  <c r="D393" i="2" s="1"/>
  <c r="D404" i="2" s="1"/>
  <c r="D415" i="2" s="1"/>
  <c r="D426" i="2" s="1"/>
  <c r="D437" i="2" s="1"/>
  <c r="D448" i="2" s="1"/>
  <c r="D459" i="2" s="1"/>
  <c r="D470" i="2" s="1"/>
  <c r="D481" i="2" s="1"/>
  <c r="D492" i="2" s="1"/>
  <c r="D503" i="2" s="1"/>
  <c r="D514" i="2" s="1"/>
  <c r="D525" i="2" s="1"/>
  <c r="D536" i="2" s="1"/>
  <c r="D547" i="2" s="1"/>
  <c r="D559" i="2" s="1"/>
  <c r="D65" i="2"/>
  <c r="B18" i="1"/>
  <c r="B359" i="1"/>
  <c r="B239" i="1"/>
  <c r="B379" i="1"/>
  <c r="B289" i="1"/>
  <c r="B419" i="1"/>
  <c r="B339" i="1"/>
  <c r="B309" i="1"/>
  <c r="B399" i="1"/>
  <c r="B219" i="1"/>
  <c r="B389" i="1"/>
  <c r="B209" i="1"/>
  <c r="B299" i="1"/>
  <c r="B279" i="1"/>
  <c r="B349" i="1"/>
  <c r="B319" i="1"/>
  <c r="B259" i="1"/>
  <c r="B329" i="1"/>
  <c r="B409" i="1"/>
  <c r="D278" i="2"/>
  <c r="F4" i="2"/>
  <c r="A10" i="2"/>
  <c r="A11" i="2" s="1"/>
  <c r="C10" i="2"/>
  <c r="C11" i="2"/>
  <c r="C12" i="2"/>
  <c r="C13" i="2"/>
  <c r="C14" i="2"/>
  <c r="C15" i="2"/>
  <c r="C16" i="2"/>
  <c r="C17" i="2"/>
  <c r="H2" i="2"/>
  <c r="H3" i="2"/>
  <c r="H8" i="2" s="1"/>
  <c r="F67" i="2"/>
  <c r="F65" i="2"/>
  <c r="F73" i="2"/>
  <c r="F66" i="2"/>
  <c r="F72" i="2"/>
  <c r="F70" i="2"/>
  <c r="F71" i="2"/>
  <c r="F278" i="2"/>
  <c r="F68" i="2"/>
  <c r="A138" i="1"/>
  <c r="A28" i="1"/>
  <c r="A238" i="1"/>
  <c r="A388" i="1"/>
  <c r="A178" i="1"/>
  <c r="A368" i="1"/>
  <c r="A168" i="1"/>
  <c r="A288" i="1"/>
  <c r="A78" i="1"/>
  <c r="A348" i="1"/>
  <c r="A228" i="1"/>
  <c r="A188" i="1"/>
  <c r="A158" i="1"/>
  <c r="A268" i="1"/>
  <c r="A148" i="1"/>
  <c r="A108" i="1"/>
  <c r="A279" i="1"/>
  <c r="A230" i="1"/>
  <c r="A379" i="1"/>
  <c r="A349" i="1"/>
  <c r="A8" i="1"/>
  <c r="A359" i="1"/>
  <c r="A409" i="1"/>
  <c r="A38" i="1"/>
  <c r="A48" i="1"/>
  <c r="A260" i="1"/>
  <c r="A239" i="1"/>
  <c r="A418" i="1"/>
  <c r="A58" i="1"/>
  <c r="A428" i="1"/>
  <c r="A378" i="1"/>
  <c r="A408" i="1"/>
  <c r="A278" i="1"/>
  <c r="A218" i="1"/>
  <c r="A128" i="1"/>
  <c r="A88" i="1"/>
  <c r="A248" i="1"/>
  <c r="A258" i="1"/>
  <c r="A308" i="1"/>
  <c r="A358" i="1"/>
  <c r="A328" i="1"/>
  <c r="A249" i="1"/>
  <c r="A300" i="1"/>
  <c r="A229" i="1"/>
  <c r="A219" i="1"/>
  <c r="A339" i="1"/>
  <c r="A410" i="1"/>
  <c r="A420" i="1"/>
  <c r="A350" i="1"/>
  <c r="A259" i="1"/>
  <c r="A399" i="1"/>
  <c r="A360" i="1"/>
  <c r="A118" i="1"/>
  <c r="A390" i="1"/>
  <c r="A330" i="1"/>
  <c r="A319" i="1"/>
  <c r="A320" i="1"/>
  <c r="A400" i="1"/>
  <c r="A298" i="1"/>
  <c r="A68" i="1"/>
  <c r="A98" i="1"/>
  <c r="A198" i="1"/>
  <c r="A318" i="1"/>
  <c r="A18" i="1"/>
  <c r="A338" i="1"/>
  <c r="A280" i="1"/>
  <c r="A290" i="1"/>
  <c r="A380" i="1"/>
  <c r="A220" i="1"/>
  <c r="A289" i="1"/>
  <c r="A250" i="1"/>
  <c r="A269" i="1"/>
  <c r="A389" i="1"/>
  <c r="A419" i="1"/>
  <c r="A240" i="1"/>
  <c r="A340" i="1"/>
  <c r="A209" i="1"/>
  <c r="A329" i="1"/>
  <c r="A369" i="1"/>
  <c r="A299" i="1"/>
  <c r="A310" i="1"/>
  <c r="A270" i="1"/>
  <c r="A370" i="1"/>
  <c r="A398" i="1"/>
  <c r="A309" i="1"/>
  <c r="B338" i="1" l="1"/>
  <c r="B318" i="1"/>
  <c r="B198" i="1"/>
  <c r="B98" i="1"/>
  <c r="B68" i="1"/>
  <c r="B298" i="1"/>
  <c r="B118" i="1"/>
  <c r="B328" i="1"/>
  <c r="B358" i="1"/>
  <c r="B308" i="1"/>
  <c r="B258" i="1"/>
  <c r="B248" i="1"/>
  <c r="B88" i="1"/>
  <c r="B128" i="1"/>
  <c r="B218" i="1"/>
  <c r="B278" i="1"/>
  <c r="B408" i="1"/>
  <c r="B378" i="1"/>
  <c r="B428" i="1"/>
  <c r="B58" i="1"/>
  <c r="B418" i="1"/>
  <c r="B48" i="1"/>
  <c r="B38" i="1"/>
  <c r="B8" i="1"/>
  <c r="B398" i="1"/>
  <c r="B108" i="1"/>
  <c r="B148" i="1"/>
  <c r="B268" i="1"/>
  <c r="B158" i="1"/>
  <c r="B188" i="1"/>
  <c r="B228" i="1"/>
  <c r="B348" i="1"/>
  <c r="B78" i="1"/>
  <c r="B168" i="1"/>
  <c r="B368" i="1"/>
  <c r="B178" i="1"/>
  <c r="B388" i="1"/>
  <c r="B238" i="1"/>
  <c r="B28" i="1"/>
  <c r="B138" i="1"/>
  <c r="D78" i="2"/>
  <c r="D82" i="2"/>
  <c r="D76" i="2"/>
  <c r="D77" i="2"/>
  <c r="D79" i="2"/>
  <c r="D84" i="2"/>
  <c r="D83" i="2"/>
  <c r="D81" i="2"/>
  <c r="B249" i="1"/>
  <c r="B79" i="1"/>
  <c r="B69" i="1"/>
  <c r="B229" i="1"/>
  <c r="B169" i="1"/>
  <c r="B129" i="1"/>
  <c r="B269" i="1"/>
  <c r="B369" i="1"/>
  <c r="B119" i="1"/>
  <c r="B230" i="1"/>
  <c r="B410" i="1"/>
  <c r="B350" i="1"/>
  <c r="B300" i="1"/>
  <c r="B220" i="1"/>
  <c r="B310" i="1"/>
  <c r="B420" i="1"/>
  <c r="B270" i="1"/>
  <c r="B370" i="1"/>
  <c r="B330" i="1"/>
  <c r="B260" i="1"/>
  <c r="B320" i="1"/>
  <c r="B280" i="1"/>
  <c r="B250" i="1"/>
  <c r="B210" i="1"/>
  <c r="B390" i="1"/>
  <c r="B400" i="1"/>
  <c r="B340" i="1"/>
  <c r="B290" i="1"/>
  <c r="B380" i="1"/>
  <c r="B240" i="1"/>
  <c r="B360" i="1"/>
  <c r="H1" i="2"/>
  <c r="D289" i="2"/>
  <c r="I2" i="2"/>
  <c r="I3" i="2"/>
  <c r="I8" i="2" s="1"/>
  <c r="F549" i="2"/>
  <c r="F82" i="2"/>
  <c r="F83" i="2"/>
  <c r="F12" i="2"/>
  <c r="F289" i="2"/>
  <c r="F81" i="2"/>
  <c r="F76" i="2"/>
  <c r="F84" i="2"/>
  <c r="F79" i="2"/>
  <c r="F13" i="2"/>
  <c r="F18" i="2"/>
  <c r="F17" i="2"/>
  <c r="F78" i="2"/>
  <c r="F77" i="2"/>
  <c r="F16" i="2"/>
  <c r="F15" i="2"/>
  <c r="A39" i="1"/>
  <c r="A189" i="1"/>
  <c r="A79" i="1"/>
  <c r="A361" i="1"/>
  <c r="A401" i="1"/>
  <c r="A231" i="1"/>
  <c r="A341" i="1"/>
  <c r="A311" i="1"/>
  <c r="A221" i="1"/>
  <c r="A351" i="1"/>
  <c r="A261" i="1"/>
  <c r="A19" i="1"/>
  <c r="A99" i="1"/>
  <c r="A429" i="1"/>
  <c r="A109" i="1"/>
  <c r="A179" i="1"/>
  <c r="A271" i="1"/>
  <c r="A119" i="1"/>
  <c r="A49" i="1"/>
  <c r="A9" i="1"/>
  <c r="A159" i="1"/>
  <c r="A169" i="1"/>
  <c r="A210" i="1"/>
  <c r="A291" i="1"/>
  <c r="A251" i="1"/>
  <c r="A199" i="1"/>
  <c r="A69" i="1"/>
  <c r="A129" i="1"/>
  <c r="A59" i="1"/>
  <c r="A149" i="1"/>
  <c r="A139" i="1"/>
  <c r="A391" i="1"/>
  <c r="A241" i="1"/>
  <c r="A371" i="1"/>
  <c r="A301" i="1"/>
  <c r="A331" i="1"/>
  <c r="A281" i="1"/>
  <c r="A89" i="1"/>
  <c r="A29" i="1"/>
  <c r="A381" i="1"/>
  <c r="A421" i="1"/>
  <c r="A411" i="1"/>
  <c r="A321" i="1"/>
  <c r="B29" i="1" l="1"/>
  <c r="B89" i="1"/>
  <c r="B139" i="1"/>
  <c r="B149" i="1"/>
  <c r="B59" i="1"/>
  <c r="B199" i="1"/>
  <c r="B159" i="1"/>
  <c r="B9" i="1"/>
  <c r="B49" i="1"/>
  <c r="B179" i="1"/>
  <c r="B109" i="1"/>
  <c r="B429" i="1"/>
  <c r="B100" i="1"/>
  <c r="B99" i="1"/>
  <c r="B19" i="1"/>
  <c r="B189" i="1"/>
  <c r="B39" i="1"/>
  <c r="D94" i="2"/>
  <c r="D87" i="2"/>
  <c r="D95" i="2"/>
  <c r="D93" i="2"/>
  <c r="D88" i="2"/>
  <c r="J2" i="2"/>
  <c r="K2" i="2" s="1"/>
  <c r="D92" i="2"/>
  <c r="D90" i="2"/>
  <c r="D89" i="2"/>
  <c r="B90" i="1"/>
  <c r="B130" i="1"/>
  <c r="B381" i="1"/>
  <c r="B391" i="1"/>
  <c r="B241" i="1"/>
  <c r="B251" i="1"/>
  <c r="B261" i="1"/>
  <c r="B331" i="1"/>
  <c r="B421" i="1"/>
  <c r="B301" i="1"/>
  <c r="B411" i="1"/>
  <c r="B341" i="1"/>
  <c r="B271" i="1"/>
  <c r="B351" i="1"/>
  <c r="B361" i="1"/>
  <c r="B291" i="1"/>
  <c r="B401" i="1"/>
  <c r="B281" i="1"/>
  <c r="B321" i="1"/>
  <c r="B371" i="1"/>
  <c r="B311" i="1"/>
  <c r="B221" i="1"/>
  <c r="B231" i="1"/>
  <c r="I1" i="2"/>
  <c r="J3" i="2"/>
  <c r="J8" i="2" s="1"/>
  <c r="D300" i="2"/>
  <c r="A12" i="2"/>
  <c r="A13" i="2" s="1"/>
  <c r="A14" i="2" s="1"/>
  <c r="A15" i="2" s="1"/>
  <c r="A16" i="2" s="1"/>
  <c r="A17" i="2" s="1"/>
  <c r="A18" i="2" s="1"/>
  <c r="A19" i="2" s="1"/>
  <c r="A20" i="2" s="1"/>
  <c r="F92" i="2"/>
  <c r="F95" i="2"/>
  <c r="F300" i="2"/>
  <c r="F88" i="2"/>
  <c r="F94" i="2"/>
  <c r="F90" i="2"/>
  <c r="F89" i="2"/>
  <c r="F93" i="2"/>
  <c r="F87" i="2"/>
  <c r="A30" i="1"/>
  <c r="A140" i="1"/>
  <c r="A60" i="1"/>
  <c r="A200" i="1"/>
  <c r="A110" i="1"/>
  <c r="A100" i="1"/>
  <c r="A80" i="1"/>
  <c r="A272" i="1"/>
  <c r="A312" i="1"/>
  <c r="A120" i="1"/>
  <c r="A190" i="1"/>
  <c r="A242" i="1"/>
  <c r="A332" i="1"/>
  <c r="A322" i="1"/>
  <c r="A90" i="1"/>
  <c r="A150" i="1"/>
  <c r="A130" i="1"/>
  <c r="A170" i="1"/>
  <c r="A180" i="1"/>
  <c r="A430" i="1"/>
  <c r="A20" i="1"/>
  <c r="A302" i="1"/>
  <c r="A422" i="1"/>
  <c r="A282" i="1"/>
  <c r="A262" i="1"/>
  <c r="A352" i="1"/>
  <c r="A412" i="1"/>
  <c r="A402" i="1"/>
  <c r="A70" i="1"/>
  <c r="A160" i="1"/>
  <c r="A50" i="1"/>
  <c r="A40" i="1"/>
  <c r="A382" i="1"/>
  <c r="A222" i="1"/>
  <c r="A362" i="1"/>
  <c r="A342" i="1"/>
  <c r="A252" i="1"/>
  <c r="A232" i="1"/>
  <c r="A392" i="1"/>
  <c r="A10" i="1"/>
  <c r="A211" i="1"/>
  <c r="A292" i="1"/>
  <c r="A372" i="1"/>
  <c r="B10" i="1" l="1"/>
  <c r="B40" i="1"/>
  <c r="B50" i="1"/>
  <c r="B160" i="1"/>
  <c r="B71" i="1"/>
  <c r="B70" i="1"/>
  <c r="B20" i="1"/>
  <c r="B430" i="1"/>
  <c r="B180" i="1"/>
  <c r="B170" i="1"/>
  <c r="B150" i="1"/>
  <c r="B190" i="1"/>
  <c r="B120" i="1"/>
  <c r="B80" i="1"/>
  <c r="B110" i="1"/>
  <c r="B200" i="1"/>
  <c r="B60" i="1"/>
  <c r="B140" i="1"/>
  <c r="B30" i="1"/>
  <c r="B211" i="1"/>
  <c r="D106" i="2"/>
  <c r="D103" i="2"/>
  <c r="D104" i="2"/>
  <c r="D100" i="2"/>
  <c r="D98" i="2"/>
  <c r="D101" i="2"/>
  <c r="D99" i="2"/>
  <c r="D105" i="2"/>
  <c r="B131" i="1"/>
  <c r="B111" i="1"/>
  <c r="B292" i="1"/>
  <c r="B252" i="1"/>
  <c r="B232" i="1"/>
  <c r="B222" i="1"/>
  <c r="B372" i="1"/>
  <c r="B322" i="1"/>
  <c r="B212" i="1"/>
  <c r="B352" i="1"/>
  <c r="B422" i="1"/>
  <c r="B332" i="1"/>
  <c r="B382" i="1"/>
  <c r="B312" i="1"/>
  <c r="B282" i="1"/>
  <c r="B402" i="1"/>
  <c r="B362" i="1"/>
  <c r="B272" i="1"/>
  <c r="B342" i="1"/>
  <c r="B412" i="1"/>
  <c r="B302" i="1"/>
  <c r="B262" i="1"/>
  <c r="B242" i="1"/>
  <c r="B392" i="1"/>
  <c r="A21" i="2"/>
  <c r="A22" i="2" s="1"/>
  <c r="A23" i="2" s="1"/>
  <c r="A24" i="2" s="1"/>
  <c r="A25" i="2" s="1"/>
  <c r="A26" i="2" s="1"/>
  <c r="A27" i="2" s="1"/>
  <c r="A28" i="2" s="1"/>
  <c r="A29" i="2" s="1"/>
  <c r="A30" i="2" s="1"/>
  <c r="A31" i="2" s="1"/>
  <c r="A32" i="2" s="1"/>
  <c r="A33" i="2" s="1"/>
  <c r="A34" i="2" s="1"/>
  <c r="A35" i="2" s="1"/>
  <c r="A36" i="2" s="1"/>
  <c r="A37" i="2" s="1"/>
  <c r="A38" i="2" s="1"/>
  <c r="A39" i="2" s="1"/>
  <c r="A40" i="2" s="1"/>
  <c r="A41" i="2" s="1"/>
  <c r="A42" i="2" s="1"/>
  <c r="F20" i="2"/>
  <c r="L2" i="2"/>
  <c r="J1" i="2"/>
  <c r="K3" i="2"/>
  <c r="K8" i="2" s="1"/>
  <c r="D311" i="2"/>
  <c r="F105" i="2"/>
  <c r="F106" i="2"/>
  <c r="F100" i="2"/>
  <c r="F98" i="2"/>
  <c r="F99" i="2"/>
  <c r="F103" i="2"/>
  <c r="F101" i="2"/>
  <c r="F311" i="2"/>
  <c r="F104" i="2"/>
  <c r="A431" i="1"/>
  <c r="A101" i="1"/>
  <c r="A91" i="1"/>
  <c r="A111" i="1"/>
  <c r="A61" i="1"/>
  <c r="A31" i="1"/>
  <c r="A293" i="1"/>
  <c r="A243" i="1"/>
  <c r="A383" i="1"/>
  <c r="A333" i="1"/>
  <c r="A423" i="1"/>
  <c r="A253" i="1"/>
  <c r="A71" i="1"/>
  <c r="A313" i="1"/>
  <c r="A41" i="1"/>
  <c r="A161" i="1"/>
  <c r="A21" i="1"/>
  <c r="A181" i="1"/>
  <c r="A131" i="1"/>
  <c r="A191" i="1"/>
  <c r="A81" i="1"/>
  <c r="A212" i="1"/>
  <c r="A363" i="1"/>
  <c r="A283" i="1"/>
  <c r="A233" i="1"/>
  <c r="A223" i="1"/>
  <c r="A393" i="1"/>
  <c r="A413" i="1"/>
  <c r="A303" i="1"/>
  <c r="A11" i="1"/>
  <c r="A323" i="1"/>
  <c r="A403" i="1"/>
  <c r="A263" i="1"/>
  <c r="A151" i="1"/>
  <c r="A201" i="1"/>
  <c r="A141" i="1"/>
  <c r="A273" i="1"/>
  <c r="A373" i="1"/>
  <c r="A343" i="1"/>
  <c r="A51" i="1"/>
  <c r="A171" i="1"/>
  <c r="A121" i="1"/>
  <c r="A353" i="1"/>
  <c r="B121" i="1" l="1"/>
  <c r="B171" i="1"/>
  <c r="B51" i="1"/>
  <c r="B141" i="1"/>
  <c r="B201" i="1"/>
  <c r="B151" i="1"/>
  <c r="B11" i="1"/>
  <c r="B81" i="1"/>
  <c r="B191" i="1"/>
  <c r="B181" i="1"/>
  <c r="B21" i="1"/>
  <c r="B161" i="1"/>
  <c r="B41" i="1"/>
  <c r="B31" i="1"/>
  <c r="B61" i="1"/>
  <c r="B91" i="1"/>
  <c r="B101" i="1"/>
  <c r="B431" i="1"/>
  <c r="D112" i="2"/>
  <c r="D115" i="2"/>
  <c r="D109" i="2"/>
  <c r="D114" i="2"/>
  <c r="D116" i="2"/>
  <c r="D110" i="2"/>
  <c r="D111" i="2"/>
  <c r="D117" i="2"/>
  <c r="B172" i="1"/>
  <c r="B32" i="1"/>
  <c r="B22" i="1"/>
  <c r="B273" i="1"/>
  <c r="B383" i="1"/>
  <c r="B423" i="1"/>
  <c r="B373" i="1"/>
  <c r="B413" i="1"/>
  <c r="B283" i="1"/>
  <c r="B333" i="1"/>
  <c r="B323" i="1"/>
  <c r="B253" i="1"/>
  <c r="B343" i="1"/>
  <c r="B234" i="1"/>
  <c r="B233" i="1"/>
  <c r="B393" i="1"/>
  <c r="B244" i="1"/>
  <c r="B243" i="1"/>
  <c r="B263" i="1"/>
  <c r="B303" i="1"/>
  <c r="B363" i="1"/>
  <c r="B403" i="1"/>
  <c r="B313" i="1"/>
  <c r="B353" i="1"/>
  <c r="B213" i="1"/>
  <c r="B224" i="1"/>
  <c r="B223" i="1"/>
  <c r="B293" i="1"/>
  <c r="F31" i="2"/>
  <c r="C36" i="2" s="1"/>
  <c r="M2" i="2"/>
  <c r="L3" i="2"/>
  <c r="L8" i="2" s="1"/>
  <c r="K1" i="2"/>
  <c r="D322" i="2"/>
  <c r="F42" i="2"/>
  <c r="A43" i="2"/>
  <c r="A44" i="2" s="1"/>
  <c r="A45" i="2" s="1"/>
  <c r="A46" i="2" s="1"/>
  <c r="A47" i="2" s="1"/>
  <c r="A48" i="2" s="1"/>
  <c r="A49" i="2" s="1"/>
  <c r="A50" i="2" s="1"/>
  <c r="A51" i="2" s="1"/>
  <c r="A52" i="2" s="1"/>
  <c r="A53" i="2" s="1"/>
  <c r="F114" i="2"/>
  <c r="F109" i="2"/>
  <c r="F116" i="2"/>
  <c r="F117" i="2"/>
  <c r="F110" i="2"/>
  <c r="F322" i="2"/>
  <c r="F111" i="2"/>
  <c r="F112" i="2"/>
  <c r="F115" i="2"/>
  <c r="A122" i="1"/>
  <c r="A52" i="1"/>
  <c r="A202" i="1"/>
  <c r="A12" i="1"/>
  <c r="A192" i="1"/>
  <c r="A32" i="1"/>
  <c r="A112" i="1"/>
  <c r="A22" i="1"/>
  <c r="A42" i="1"/>
  <c r="A92" i="1"/>
  <c r="A432" i="1"/>
  <c r="A213" i="1"/>
  <c r="A424" i="1"/>
  <c r="A354" i="1"/>
  <c r="A394" i="1"/>
  <c r="A224" i="1"/>
  <c r="A304" i="1"/>
  <c r="A404" i="1"/>
  <c r="A334" i="1"/>
  <c r="A264" i="1"/>
  <c r="A172" i="1"/>
  <c r="A142" i="1"/>
  <c r="A152" i="1"/>
  <c r="A82" i="1"/>
  <c r="A132" i="1"/>
  <c r="A62" i="1"/>
  <c r="A254" i="1"/>
  <c r="A344" i="1"/>
  <c r="A284" i="1"/>
  <c r="A244" i="1"/>
  <c r="A324" i="1"/>
  <c r="A364" i="1"/>
  <c r="A384" i="1"/>
  <c r="A182" i="1"/>
  <c r="A162" i="1"/>
  <c r="A72" i="1"/>
  <c r="A102" i="1"/>
  <c r="A234" i="1"/>
  <c r="A314" i="1"/>
  <c r="A274" i="1"/>
  <c r="A374" i="1"/>
  <c r="A414" i="1"/>
  <c r="A294" i="1"/>
  <c r="B102" i="1" l="1"/>
  <c r="B72" i="1"/>
  <c r="B162" i="1"/>
  <c r="B182" i="1"/>
  <c r="B62" i="1"/>
  <c r="B132" i="1"/>
  <c r="B82" i="1"/>
  <c r="B152" i="1"/>
  <c r="B142" i="1"/>
  <c r="B432" i="1"/>
  <c r="B92" i="1"/>
  <c r="B42" i="1"/>
  <c r="B112" i="1"/>
  <c r="B192" i="1"/>
  <c r="B12" i="1"/>
  <c r="B202" i="1"/>
  <c r="B52" i="1"/>
  <c r="B123" i="1"/>
  <c r="B122" i="1"/>
  <c r="D122" i="2"/>
  <c r="D125" i="2"/>
  <c r="F53" i="2"/>
  <c r="A54" i="2"/>
  <c r="A55" i="2" s="1"/>
  <c r="A56" i="2" s="1"/>
  <c r="A57" i="2" s="1"/>
  <c r="A58" i="2" s="1"/>
  <c r="A59" i="2" s="1"/>
  <c r="A60" i="2" s="1"/>
  <c r="A61" i="2" s="1"/>
  <c r="A62" i="2" s="1"/>
  <c r="A63" i="2" s="1"/>
  <c r="A64" i="2" s="1"/>
  <c r="D121" i="2"/>
  <c r="D120" i="2"/>
  <c r="D127" i="2"/>
  <c r="D126" i="2"/>
  <c r="D128" i="2"/>
  <c r="D123" i="2"/>
  <c r="B63" i="1"/>
  <c r="B193" i="1"/>
  <c r="C33" i="2"/>
  <c r="B254" i="1"/>
  <c r="B354" i="1"/>
  <c r="B314" i="1"/>
  <c r="B404" i="1"/>
  <c r="B264" i="1"/>
  <c r="B394" i="1"/>
  <c r="B414" i="1"/>
  <c r="B424" i="1"/>
  <c r="B294" i="1"/>
  <c r="B304" i="1"/>
  <c r="B374" i="1"/>
  <c r="B364" i="1"/>
  <c r="B344" i="1"/>
  <c r="B324" i="1"/>
  <c r="B334" i="1"/>
  <c r="B284" i="1"/>
  <c r="B384" i="1"/>
  <c r="B274" i="1"/>
  <c r="C37" i="2"/>
  <c r="C34" i="2"/>
  <c r="C35" i="2"/>
  <c r="C38" i="2"/>
  <c r="C40" i="2"/>
  <c r="C39" i="2"/>
  <c r="C32" i="2"/>
  <c r="G10" i="2"/>
  <c r="M3" i="2"/>
  <c r="M8" i="2" s="1"/>
  <c r="L1" i="2"/>
  <c r="N2" i="2"/>
  <c r="D333" i="2"/>
  <c r="C46" i="2"/>
  <c r="C50" i="2"/>
  <c r="C49" i="2"/>
  <c r="C48" i="2"/>
  <c r="C51" i="2"/>
  <c r="C47" i="2"/>
  <c r="C45" i="2"/>
  <c r="C44" i="2"/>
  <c r="C43" i="2"/>
  <c r="F128" i="2"/>
  <c r="F122" i="2"/>
  <c r="F127" i="2"/>
  <c r="F123" i="2"/>
  <c r="F126" i="2"/>
  <c r="F125" i="2"/>
  <c r="F121" i="2"/>
  <c r="F333" i="2"/>
  <c r="F120" i="2"/>
  <c r="A103" i="1"/>
  <c r="A163" i="1"/>
  <c r="A63" i="1"/>
  <c r="A83" i="1"/>
  <c r="A143" i="1"/>
  <c r="A33" i="1"/>
  <c r="A93" i="1"/>
  <c r="A23" i="1"/>
  <c r="A193" i="1"/>
  <c r="A203" i="1"/>
  <c r="A123" i="1"/>
  <c r="A53" i="1"/>
  <c r="A214" i="1"/>
  <c r="A73" i="1"/>
  <c r="A183" i="1"/>
  <c r="A133" i="1"/>
  <c r="A153" i="1"/>
  <c r="A173" i="1"/>
  <c r="A113" i="1"/>
  <c r="A433" i="1"/>
  <c r="A43" i="1"/>
  <c r="A13" i="1"/>
  <c r="B13" i="1" l="1"/>
  <c r="B43" i="1"/>
  <c r="B433" i="1"/>
  <c r="B113" i="1"/>
  <c r="B173" i="1"/>
  <c r="B153" i="1"/>
  <c r="B133" i="1"/>
  <c r="B183" i="1"/>
  <c r="B73" i="1"/>
  <c r="B53" i="1"/>
  <c r="B203" i="1"/>
  <c r="B23" i="1"/>
  <c r="B93" i="1"/>
  <c r="B33" i="1"/>
  <c r="B143" i="1"/>
  <c r="B83" i="1"/>
  <c r="B163" i="1"/>
  <c r="B103" i="1"/>
  <c r="B214" i="1"/>
  <c r="C54" i="2"/>
  <c r="C55" i="2"/>
  <c r="N55" i="2" s="1"/>
  <c r="C56" i="2"/>
  <c r="C57" i="2"/>
  <c r="C58" i="2"/>
  <c r="C59" i="2"/>
  <c r="N59" i="2" s="1"/>
  <c r="C60" i="2"/>
  <c r="N60" i="2" s="1"/>
  <c r="C61" i="2"/>
  <c r="C62" i="2"/>
  <c r="N54" i="2"/>
  <c r="N56" i="2"/>
  <c r="D139" i="2"/>
  <c r="D131" i="2"/>
  <c r="D136" i="2"/>
  <c r="D138" i="2"/>
  <c r="D134" i="2"/>
  <c r="D137" i="2"/>
  <c r="D132" i="2"/>
  <c r="D133" i="2"/>
  <c r="B94" i="1"/>
  <c r="B144" i="1"/>
  <c r="B184" i="1"/>
  <c r="B84" i="1"/>
  <c r="B14" i="1"/>
  <c r="B204" i="1"/>
  <c r="B114" i="1"/>
  <c r="B44" i="1"/>
  <c r="B124" i="1"/>
  <c r="B24" i="1"/>
  <c r="B34" i="1"/>
  <c r="B104" i="1"/>
  <c r="B64" i="1"/>
  <c r="B54" i="1"/>
  <c r="B154" i="1"/>
  <c r="B174" i="1"/>
  <c r="B74" i="1"/>
  <c r="O2" i="2"/>
  <c r="N3" i="2"/>
  <c r="N8" i="2" s="1"/>
  <c r="M1" i="2"/>
  <c r="D344" i="2"/>
  <c r="F64" i="2"/>
  <c r="A65" i="2"/>
  <c r="A66" i="2" s="1"/>
  <c r="A67" i="2" s="1"/>
  <c r="A68" i="2" s="1"/>
  <c r="A69" i="2" s="1"/>
  <c r="A70" i="2" s="1"/>
  <c r="A71" i="2" s="1"/>
  <c r="A72" i="2" s="1"/>
  <c r="A73" i="2" s="1"/>
  <c r="A74" i="2" s="1"/>
  <c r="A75" i="2" s="1"/>
  <c r="F344" i="2"/>
  <c r="F139" i="2"/>
  <c r="F132" i="2"/>
  <c r="F131" i="2"/>
  <c r="F133" i="2"/>
  <c r="F137" i="2"/>
  <c r="F134" i="2"/>
  <c r="F138" i="2"/>
  <c r="F136" i="2"/>
  <c r="A14" i="1"/>
  <c r="A434" i="1"/>
  <c r="A174" i="1"/>
  <c r="A134" i="1"/>
  <c r="A74" i="1"/>
  <c r="A124" i="1"/>
  <c r="A24" i="1"/>
  <c r="A34" i="1"/>
  <c r="A84" i="1"/>
  <c r="A194" i="1"/>
  <c r="A204" i="1"/>
  <c r="A104" i="1"/>
  <c r="A44" i="1"/>
  <c r="A114" i="1"/>
  <c r="A154" i="1"/>
  <c r="A184" i="1"/>
  <c r="A54" i="1"/>
  <c r="A94" i="1"/>
  <c r="A144" i="1"/>
  <c r="A64" i="1"/>
  <c r="A164" i="1"/>
  <c r="B194" i="1" l="1"/>
  <c r="B164" i="1"/>
  <c r="B134" i="1"/>
  <c r="B434" i="1"/>
  <c r="N58" i="2"/>
  <c r="N62" i="2"/>
  <c r="G61" i="2"/>
  <c r="H61" i="2"/>
  <c r="I61" i="2"/>
  <c r="K61" i="2"/>
  <c r="J61" i="2"/>
  <c r="L61" i="2"/>
  <c r="M61" i="2"/>
  <c r="G57" i="2"/>
  <c r="H57" i="2"/>
  <c r="I57" i="2"/>
  <c r="K57" i="2"/>
  <c r="J57" i="2"/>
  <c r="L57" i="2"/>
  <c r="M57" i="2"/>
  <c r="G60" i="2"/>
  <c r="H60" i="2"/>
  <c r="I60" i="2"/>
  <c r="K60" i="2"/>
  <c r="J60" i="2"/>
  <c r="L60" i="2"/>
  <c r="M60" i="2"/>
  <c r="G56" i="2"/>
  <c r="H56" i="2"/>
  <c r="I56" i="2"/>
  <c r="J56" i="2"/>
  <c r="K56" i="2"/>
  <c r="L56" i="2"/>
  <c r="M56" i="2"/>
  <c r="G59" i="2"/>
  <c r="H59" i="2"/>
  <c r="I59" i="2"/>
  <c r="K59" i="2"/>
  <c r="J59" i="2"/>
  <c r="L59" i="2"/>
  <c r="M59" i="2"/>
  <c r="G55" i="2"/>
  <c r="H55" i="2"/>
  <c r="I55" i="2"/>
  <c r="K55" i="2"/>
  <c r="J55" i="2"/>
  <c r="L55" i="2"/>
  <c r="M55" i="2"/>
  <c r="D148" i="2"/>
  <c r="D142" i="2"/>
  <c r="D145" i="2"/>
  <c r="D150" i="2"/>
  <c r="O54" i="2"/>
  <c r="O55" i="2"/>
  <c r="O56" i="2"/>
  <c r="O57" i="2"/>
  <c r="O58" i="2"/>
  <c r="O59" i="2"/>
  <c r="O60" i="2"/>
  <c r="O61" i="2"/>
  <c r="O62" i="2"/>
  <c r="D144" i="2"/>
  <c r="D149" i="2"/>
  <c r="D143" i="2"/>
  <c r="D147" i="2"/>
  <c r="N61" i="2"/>
  <c r="N63" i="2" s="1"/>
  <c r="N57" i="2"/>
  <c r="G62" i="2"/>
  <c r="H62" i="2"/>
  <c r="I62" i="2"/>
  <c r="K62" i="2"/>
  <c r="J62" i="2"/>
  <c r="L62" i="2"/>
  <c r="M62" i="2"/>
  <c r="G58" i="2"/>
  <c r="H58" i="2"/>
  <c r="I58" i="2"/>
  <c r="K58" i="2"/>
  <c r="J58" i="2"/>
  <c r="L58" i="2"/>
  <c r="M58" i="2"/>
  <c r="G54" i="2"/>
  <c r="H54" i="2"/>
  <c r="I54" i="2"/>
  <c r="K54" i="2"/>
  <c r="J54" i="2"/>
  <c r="L54" i="2"/>
  <c r="M54" i="2"/>
  <c r="B435" i="1"/>
  <c r="N1" i="2"/>
  <c r="O3" i="2"/>
  <c r="O8" i="2" s="1"/>
  <c r="P2" i="2"/>
  <c r="D355" i="2"/>
  <c r="F75" i="2"/>
  <c r="A76" i="2"/>
  <c r="A77" i="2" s="1"/>
  <c r="A78" i="2" s="1"/>
  <c r="A79" i="2" s="1"/>
  <c r="A80" i="2" s="1"/>
  <c r="A81" i="2" s="1"/>
  <c r="A82" i="2" s="1"/>
  <c r="A83" i="2" s="1"/>
  <c r="A84" i="2" s="1"/>
  <c r="A85" i="2" s="1"/>
  <c r="A86" i="2" s="1"/>
  <c r="C71" i="2"/>
  <c r="C70" i="2"/>
  <c r="C67" i="2"/>
  <c r="C72" i="2"/>
  <c r="C66" i="2"/>
  <c r="C65" i="2"/>
  <c r="C69" i="2"/>
  <c r="C68" i="2"/>
  <c r="C73" i="2"/>
  <c r="F355" i="2"/>
  <c r="F145" i="2"/>
  <c r="F147" i="2"/>
  <c r="F148" i="2"/>
  <c r="F144" i="2"/>
  <c r="F143" i="2"/>
  <c r="F149" i="2"/>
  <c r="F142" i="2"/>
  <c r="F150" i="2"/>
  <c r="A435" i="1"/>
  <c r="K63" i="2" l="1"/>
  <c r="D155" i="2"/>
  <c r="P54" i="2"/>
  <c r="P55" i="2"/>
  <c r="P56" i="2"/>
  <c r="P57" i="2"/>
  <c r="P58" i="2"/>
  <c r="P59" i="2"/>
  <c r="P60" i="2"/>
  <c r="P61" i="2"/>
  <c r="P62" i="2"/>
  <c r="D158" i="2"/>
  <c r="D159" i="2"/>
  <c r="M63" i="2"/>
  <c r="I63" i="2"/>
  <c r="D153" i="2"/>
  <c r="D154" i="2"/>
  <c r="O63" i="2"/>
  <c r="D161" i="2"/>
  <c r="L63" i="2"/>
  <c r="H63" i="2"/>
  <c r="D160" i="2"/>
  <c r="D156" i="2"/>
  <c r="J63" i="2"/>
  <c r="G63" i="2"/>
  <c r="O1" i="2"/>
  <c r="P3" i="2"/>
  <c r="P8" i="2" s="1"/>
  <c r="Q2" i="2"/>
  <c r="D366" i="2"/>
  <c r="F86" i="2"/>
  <c r="A87" i="2"/>
  <c r="A88" i="2" s="1"/>
  <c r="A89" i="2" s="1"/>
  <c r="A90" i="2" s="1"/>
  <c r="A91" i="2" s="1"/>
  <c r="A92" i="2" s="1"/>
  <c r="A93" i="2" s="1"/>
  <c r="A94" i="2" s="1"/>
  <c r="A95" i="2" s="1"/>
  <c r="A96" i="2" s="1"/>
  <c r="A97" i="2" s="1"/>
  <c r="C78" i="2"/>
  <c r="C77" i="2"/>
  <c r="C80" i="2"/>
  <c r="C76" i="2"/>
  <c r="C84" i="2"/>
  <c r="C83" i="2"/>
  <c r="C82" i="2"/>
  <c r="C81" i="2"/>
  <c r="C79" i="2"/>
  <c r="F156" i="2"/>
  <c r="F154" i="2"/>
  <c r="F160" i="2"/>
  <c r="F159" i="2"/>
  <c r="F158" i="2"/>
  <c r="F161" i="2"/>
  <c r="F155" i="2"/>
  <c r="F366" i="2"/>
  <c r="F153" i="2"/>
  <c r="A436" i="1"/>
  <c r="B436" i="1" l="1"/>
  <c r="R2" i="2"/>
  <c r="Q54" i="2"/>
  <c r="Q55" i="2"/>
  <c r="Q56" i="2"/>
  <c r="Q57" i="2"/>
  <c r="Q58" i="2"/>
  <c r="Q59" i="2"/>
  <c r="Q60" i="2"/>
  <c r="Q61" i="2"/>
  <c r="Q62" i="2"/>
  <c r="D171" i="2"/>
  <c r="D165" i="2"/>
  <c r="D169" i="2"/>
  <c r="D170" i="2"/>
  <c r="D167" i="2"/>
  <c r="D172" i="2"/>
  <c r="D164" i="2"/>
  <c r="P63" i="2"/>
  <c r="D166" i="2"/>
  <c r="B437" i="1"/>
  <c r="Q3" i="2"/>
  <c r="P1" i="2"/>
  <c r="D377" i="2"/>
  <c r="F97" i="2"/>
  <c r="A98" i="2"/>
  <c r="A99" i="2" s="1"/>
  <c r="A100" i="2" s="1"/>
  <c r="A101" i="2" s="1"/>
  <c r="A102" i="2" s="1"/>
  <c r="A103" i="2" s="1"/>
  <c r="A104" i="2" s="1"/>
  <c r="A105" i="2" s="1"/>
  <c r="A106" i="2" s="1"/>
  <c r="A107" i="2" s="1"/>
  <c r="A108" i="2" s="1"/>
  <c r="C95" i="2"/>
  <c r="C89" i="2"/>
  <c r="C88" i="2"/>
  <c r="C87" i="2"/>
  <c r="C94" i="2"/>
  <c r="C93" i="2"/>
  <c r="C92" i="2"/>
  <c r="C91" i="2"/>
  <c r="C90" i="2"/>
  <c r="F169" i="2"/>
  <c r="F167" i="2"/>
  <c r="F170" i="2"/>
  <c r="F164" i="2"/>
  <c r="F172" i="2"/>
  <c r="F165" i="2"/>
  <c r="F166" i="2"/>
  <c r="F171" i="2"/>
  <c r="F377" i="2"/>
  <c r="A437" i="1"/>
  <c r="D183" i="2" l="1"/>
  <c r="D180" i="2"/>
  <c r="R54" i="2"/>
  <c r="S54" i="2" s="1"/>
  <c r="R55" i="2"/>
  <c r="S55" i="2" s="1"/>
  <c r="R56" i="2"/>
  <c r="S56" i="2" s="1"/>
  <c r="R57" i="2"/>
  <c r="S57" i="2" s="1"/>
  <c r="R58" i="2"/>
  <c r="S58" i="2" s="1"/>
  <c r="R59" i="2"/>
  <c r="S59" i="2" s="1"/>
  <c r="R60" i="2"/>
  <c r="S60" i="2" s="1"/>
  <c r="R61" i="2"/>
  <c r="S61" i="2" s="1"/>
  <c r="R62" i="2"/>
  <c r="S62" i="2" s="1"/>
  <c r="D177" i="2"/>
  <c r="D178" i="2"/>
  <c r="D176" i="2"/>
  <c r="Q63" i="2"/>
  <c r="D181" i="2"/>
  <c r="D182" i="2"/>
  <c r="D175" i="2"/>
  <c r="Q8" i="2"/>
  <c r="R3" i="2"/>
  <c r="Q1" i="2"/>
  <c r="D388" i="2"/>
  <c r="F108" i="2"/>
  <c r="A109" i="2"/>
  <c r="A110" i="2" s="1"/>
  <c r="A111" i="2" s="1"/>
  <c r="A112" i="2" s="1"/>
  <c r="A113" i="2" s="1"/>
  <c r="A114" i="2" s="1"/>
  <c r="A115" i="2" s="1"/>
  <c r="A116" i="2" s="1"/>
  <c r="A117" i="2" s="1"/>
  <c r="A118" i="2" s="1"/>
  <c r="A119" i="2" s="1"/>
  <c r="C98" i="2"/>
  <c r="C103" i="2"/>
  <c r="C99" i="2"/>
  <c r="C105" i="2"/>
  <c r="C104" i="2"/>
  <c r="C106" i="2"/>
  <c r="C102" i="2"/>
  <c r="C101" i="2"/>
  <c r="C100" i="2"/>
  <c r="F176" i="2"/>
  <c r="F180" i="2"/>
  <c r="F175" i="2"/>
  <c r="F181" i="2"/>
  <c r="F178" i="2"/>
  <c r="F177" i="2"/>
  <c r="F388" i="2"/>
  <c r="F182" i="2"/>
  <c r="F183" i="2"/>
  <c r="A438" i="1"/>
  <c r="B438" i="1" l="1"/>
  <c r="D186" i="2"/>
  <c r="D188" i="2"/>
  <c r="D194" i="2"/>
  <c r="D193" i="2"/>
  <c r="D187" i="2"/>
  <c r="R63" i="2"/>
  <c r="S63" i="2" s="1"/>
  <c r="D192" i="2"/>
  <c r="D189" i="2"/>
  <c r="D191" i="2"/>
  <c r="R1" i="2"/>
  <c r="R8" i="2"/>
  <c r="F6" i="2"/>
  <c r="F5" i="2"/>
  <c r="D399" i="2"/>
  <c r="F119" i="2"/>
  <c r="A120" i="2"/>
  <c r="A121" i="2" s="1"/>
  <c r="A122" i="2" s="1"/>
  <c r="A123" i="2" s="1"/>
  <c r="A124" i="2" s="1"/>
  <c r="A125" i="2" s="1"/>
  <c r="A126" i="2" s="1"/>
  <c r="A127" i="2" s="1"/>
  <c r="A128" i="2" s="1"/>
  <c r="A129" i="2" s="1"/>
  <c r="A130" i="2" s="1"/>
  <c r="C116" i="2"/>
  <c r="C111" i="2"/>
  <c r="C115" i="2"/>
  <c r="C112" i="2"/>
  <c r="C109" i="2"/>
  <c r="C114" i="2"/>
  <c r="C113" i="2"/>
  <c r="C110" i="2"/>
  <c r="C117" i="2"/>
  <c r="F191" i="2"/>
  <c r="F192" i="2"/>
  <c r="F399" i="2"/>
  <c r="F193" i="2"/>
  <c r="F187" i="2"/>
  <c r="F186" i="2"/>
  <c r="F194" i="2"/>
  <c r="F188" i="2"/>
  <c r="F189" i="2"/>
  <c r="A439" i="1"/>
  <c r="B439" i="1" l="1"/>
  <c r="D203" i="2"/>
  <c r="D205" i="2"/>
  <c r="D202" i="2"/>
  <c r="D198" i="2"/>
  <c r="D199" i="2"/>
  <c r="D200" i="2"/>
  <c r="D204" i="2"/>
  <c r="D197" i="2"/>
  <c r="D410" i="2"/>
  <c r="F130" i="2"/>
  <c r="A131" i="2"/>
  <c r="A132" i="2" s="1"/>
  <c r="A133" i="2" s="1"/>
  <c r="A134" i="2" s="1"/>
  <c r="A135" i="2" s="1"/>
  <c r="A136" i="2" s="1"/>
  <c r="A137" i="2" s="1"/>
  <c r="A138" i="2" s="1"/>
  <c r="A139" i="2" s="1"/>
  <c r="A140" i="2" s="1"/>
  <c r="A141" i="2" s="1"/>
  <c r="C125" i="2"/>
  <c r="C124" i="2"/>
  <c r="C126" i="2"/>
  <c r="C128" i="2"/>
  <c r="C127" i="2"/>
  <c r="C120" i="2"/>
  <c r="C123" i="2"/>
  <c r="C122" i="2"/>
  <c r="C121" i="2"/>
  <c r="F204" i="2"/>
  <c r="F200" i="2"/>
  <c r="F197" i="2"/>
  <c r="F203" i="2"/>
  <c r="F199" i="2"/>
  <c r="F202" i="2"/>
  <c r="F198" i="2"/>
  <c r="F205" i="2"/>
  <c r="F410" i="2"/>
  <c r="A440" i="1"/>
  <c r="B440" i="1" l="1"/>
  <c r="D215" i="2"/>
  <c r="D208" i="2"/>
  <c r="D209" i="2"/>
  <c r="D211" i="2"/>
  <c r="D216" i="2"/>
  <c r="D213" i="2"/>
  <c r="D210" i="2"/>
  <c r="D214" i="2"/>
  <c r="D421" i="2"/>
  <c r="C25" i="2"/>
  <c r="C28" i="2"/>
  <c r="C27" i="2"/>
  <c r="C22" i="2"/>
  <c r="C21" i="2"/>
  <c r="C29" i="2"/>
  <c r="C26" i="2"/>
  <c r="C24" i="2"/>
  <c r="C23" i="2"/>
  <c r="F141" i="2"/>
  <c r="A142" i="2"/>
  <c r="A143" i="2" s="1"/>
  <c r="A144" i="2" s="1"/>
  <c r="A145" i="2" s="1"/>
  <c r="A146" i="2" s="1"/>
  <c r="A147" i="2" s="1"/>
  <c r="A148" i="2" s="1"/>
  <c r="A149" i="2" s="1"/>
  <c r="A150" i="2" s="1"/>
  <c r="A151" i="2" s="1"/>
  <c r="A152" i="2" s="1"/>
  <c r="C136" i="2"/>
  <c r="C135" i="2"/>
  <c r="C138" i="2"/>
  <c r="C137" i="2"/>
  <c r="C134" i="2"/>
  <c r="C133" i="2"/>
  <c r="C132" i="2"/>
  <c r="C131" i="2"/>
  <c r="C139" i="2"/>
  <c r="F215" i="2"/>
  <c r="F209" i="2"/>
  <c r="F216" i="2"/>
  <c r="F214" i="2"/>
  <c r="F208" i="2"/>
  <c r="F211" i="2"/>
  <c r="F213" i="2"/>
  <c r="F421" i="2"/>
  <c r="F210" i="2"/>
  <c r="A441" i="1"/>
  <c r="B441" i="1" l="1"/>
  <c r="D222" i="2"/>
  <c r="D221" i="2"/>
  <c r="D220" i="2"/>
  <c r="D225" i="2"/>
  <c r="D224" i="2"/>
  <c r="D219" i="2"/>
  <c r="D227" i="2"/>
  <c r="D226" i="2"/>
  <c r="D432" i="2"/>
  <c r="F152" i="2"/>
  <c r="A153" i="2"/>
  <c r="A154" i="2" s="1"/>
  <c r="A155" i="2" s="1"/>
  <c r="A156" i="2" s="1"/>
  <c r="A157" i="2" s="1"/>
  <c r="A158" i="2" s="1"/>
  <c r="A159" i="2" s="1"/>
  <c r="A160" i="2" s="1"/>
  <c r="A161" i="2" s="1"/>
  <c r="A162" i="2" s="1"/>
  <c r="A163" i="2" s="1"/>
  <c r="C149" i="2"/>
  <c r="C150" i="2"/>
  <c r="C148" i="2"/>
  <c r="C144" i="2"/>
  <c r="C146" i="2"/>
  <c r="C145" i="2"/>
  <c r="C143" i="2"/>
  <c r="C147" i="2"/>
  <c r="C142" i="2"/>
  <c r="F432" i="2"/>
  <c r="F224" i="2"/>
  <c r="F222" i="2"/>
  <c r="F221" i="2"/>
  <c r="F220" i="2"/>
  <c r="F225" i="2"/>
  <c r="F226" i="2"/>
  <c r="F227" i="2"/>
  <c r="F219" i="2"/>
  <c r="A442" i="1"/>
  <c r="B442" i="1" l="1"/>
  <c r="D238" i="2"/>
  <c r="D231" i="2"/>
  <c r="D237" i="2"/>
  <c r="D236" i="2"/>
  <c r="D230" i="2"/>
  <c r="D232" i="2"/>
  <c r="D235" i="2"/>
  <c r="D233" i="2"/>
  <c r="D443" i="2"/>
  <c r="F163" i="2"/>
  <c r="A164" i="2"/>
  <c r="A165" i="2" s="1"/>
  <c r="A166" i="2" s="1"/>
  <c r="A167" i="2" s="1"/>
  <c r="A168" i="2" s="1"/>
  <c r="A169" i="2" s="1"/>
  <c r="A170" i="2" s="1"/>
  <c r="A171" i="2" s="1"/>
  <c r="A172" i="2" s="1"/>
  <c r="A173" i="2" s="1"/>
  <c r="A174" i="2" s="1"/>
  <c r="C156" i="2"/>
  <c r="C155" i="2"/>
  <c r="C154" i="2"/>
  <c r="C153" i="2"/>
  <c r="C157" i="2"/>
  <c r="C161" i="2"/>
  <c r="C160" i="2"/>
  <c r="C159" i="2"/>
  <c r="C158" i="2"/>
  <c r="F443" i="2"/>
  <c r="F238" i="2"/>
  <c r="F233" i="2"/>
  <c r="F232" i="2"/>
  <c r="F236" i="2"/>
  <c r="F235" i="2"/>
  <c r="F237" i="2"/>
  <c r="F231" i="2"/>
  <c r="F230" i="2"/>
  <c r="A443" i="1"/>
  <c r="B443" i="1" l="1"/>
  <c r="D248" i="2"/>
  <c r="D244" i="2"/>
  <c r="D247" i="2"/>
  <c r="D246" i="2"/>
  <c r="D243" i="2"/>
  <c r="D242" i="2"/>
  <c r="D241" i="2"/>
  <c r="D249" i="2"/>
  <c r="D454" i="2"/>
  <c r="F174" i="2"/>
  <c r="A175" i="2"/>
  <c r="A176" i="2" s="1"/>
  <c r="A177" i="2" s="1"/>
  <c r="A178" i="2" s="1"/>
  <c r="A179" i="2" s="1"/>
  <c r="A180" i="2" s="1"/>
  <c r="A181" i="2" s="1"/>
  <c r="A182" i="2" s="1"/>
  <c r="A183" i="2" s="1"/>
  <c r="A184" i="2" s="1"/>
  <c r="A185" i="2" s="1"/>
  <c r="C169" i="2"/>
  <c r="C168" i="2"/>
  <c r="C165" i="2"/>
  <c r="C172" i="2"/>
  <c r="C171" i="2"/>
  <c r="C170" i="2"/>
  <c r="C164" i="2"/>
  <c r="C167" i="2"/>
  <c r="C166" i="2"/>
  <c r="F249" i="2"/>
  <c r="F244" i="2"/>
  <c r="F241" i="2"/>
  <c r="F247" i="2"/>
  <c r="F454" i="2"/>
  <c r="F243" i="2"/>
  <c r="F242" i="2"/>
  <c r="F246" i="2"/>
  <c r="F248" i="2"/>
  <c r="A444" i="1"/>
  <c r="B444" i="1" l="1"/>
  <c r="D260" i="2"/>
  <c r="D257" i="2"/>
  <c r="D252" i="2"/>
  <c r="D258" i="2"/>
  <c r="D253" i="2"/>
  <c r="D255" i="2"/>
  <c r="D254" i="2"/>
  <c r="D259" i="2"/>
  <c r="D465" i="2"/>
  <c r="F185" i="2"/>
  <c r="A186" i="2"/>
  <c r="A187" i="2" s="1"/>
  <c r="A188" i="2" s="1"/>
  <c r="A189" i="2" s="1"/>
  <c r="A190" i="2" s="1"/>
  <c r="A191" i="2" s="1"/>
  <c r="A192" i="2" s="1"/>
  <c r="A193" i="2" s="1"/>
  <c r="A194" i="2" s="1"/>
  <c r="A195" i="2" s="1"/>
  <c r="A196" i="2" s="1"/>
  <c r="C176" i="2"/>
  <c r="C183" i="2"/>
  <c r="C182" i="2"/>
  <c r="C181" i="2"/>
  <c r="C175" i="2"/>
  <c r="C180" i="2"/>
  <c r="C177" i="2"/>
  <c r="C179" i="2"/>
  <c r="C178" i="2"/>
  <c r="F253" i="2"/>
  <c r="F465" i="2"/>
  <c r="F252" i="2"/>
  <c r="F258" i="2"/>
  <c r="F254" i="2"/>
  <c r="F257" i="2"/>
  <c r="F259" i="2"/>
  <c r="F260" i="2"/>
  <c r="F255" i="2"/>
  <c r="D266" i="2" l="1"/>
  <c r="D268" i="2"/>
  <c r="D270" i="2"/>
  <c r="D269" i="2"/>
  <c r="D265" i="2"/>
  <c r="D263" i="2"/>
  <c r="D264" i="2"/>
  <c r="D271" i="2"/>
  <c r="D476" i="2"/>
  <c r="F196" i="2"/>
  <c r="A197" i="2"/>
  <c r="A198" i="2" s="1"/>
  <c r="A199" i="2" s="1"/>
  <c r="A200" i="2" s="1"/>
  <c r="A201" i="2" s="1"/>
  <c r="A202" i="2" s="1"/>
  <c r="A203" i="2" s="1"/>
  <c r="A204" i="2" s="1"/>
  <c r="A205" i="2" s="1"/>
  <c r="A206" i="2" s="1"/>
  <c r="A207" i="2" s="1"/>
  <c r="C194" i="2"/>
  <c r="C189" i="2"/>
  <c r="C193" i="2"/>
  <c r="C190" i="2"/>
  <c r="C192" i="2"/>
  <c r="C191" i="2"/>
  <c r="C188" i="2"/>
  <c r="C187" i="2"/>
  <c r="C186" i="2"/>
  <c r="F476" i="2"/>
  <c r="F268" i="2"/>
  <c r="F264" i="2"/>
  <c r="F266" i="2"/>
  <c r="F263" i="2"/>
  <c r="F269" i="2"/>
  <c r="F271" i="2"/>
  <c r="F270" i="2"/>
  <c r="F265" i="2"/>
  <c r="D275" i="2" l="1"/>
  <c r="D281" i="2"/>
  <c r="D274" i="2"/>
  <c r="D279" i="2"/>
  <c r="D282" i="2"/>
  <c r="D280" i="2"/>
  <c r="D276" i="2"/>
  <c r="D277" i="2"/>
  <c r="D487" i="2"/>
  <c r="F207" i="2"/>
  <c r="A208" i="2"/>
  <c r="A209" i="2" s="1"/>
  <c r="A210" i="2" s="1"/>
  <c r="A211" i="2" s="1"/>
  <c r="A212" i="2" s="1"/>
  <c r="A213" i="2" s="1"/>
  <c r="A214" i="2" s="1"/>
  <c r="A215" i="2" s="1"/>
  <c r="A216" i="2" s="1"/>
  <c r="A217" i="2" s="1"/>
  <c r="A218" i="2" s="1"/>
  <c r="C202" i="2"/>
  <c r="C201" i="2"/>
  <c r="C203" i="2"/>
  <c r="C197" i="2"/>
  <c r="C205" i="2"/>
  <c r="C204" i="2"/>
  <c r="C200" i="2"/>
  <c r="C198" i="2"/>
  <c r="C199" i="2"/>
  <c r="F282" i="2"/>
  <c r="F281" i="2"/>
  <c r="F274" i="2"/>
  <c r="F487" i="2"/>
  <c r="F280" i="2"/>
  <c r="F276" i="2"/>
  <c r="F275" i="2"/>
  <c r="F277" i="2"/>
  <c r="F279" i="2"/>
  <c r="D287" i="2" l="1"/>
  <c r="D285" i="2"/>
  <c r="D291" i="2"/>
  <c r="D292" i="2"/>
  <c r="D288" i="2"/>
  <c r="D290" i="2"/>
  <c r="D293" i="2"/>
  <c r="D286" i="2"/>
  <c r="D498" i="2"/>
  <c r="F218" i="2"/>
  <c r="A219" i="2"/>
  <c r="A220" i="2" s="1"/>
  <c r="A221" i="2" s="1"/>
  <c r="A222" i="2" s="1"/>
  <c r="A223" i="2" s="1"/>
  <c r="A224" i="2" s="1"/>
  <c r="A225" i="2" s="1"/>
  <c r="A226" i="2" s="1"/>
  <c r="A227" i="2" s="1"/>
  <c r="A228" i="2" s="1"/>
  <c r="A229" i="2" s="1"/>
  <c r="C214" i="2"/>
  <c r="C209" i="2"/>
  <c r="C213" i="2"/>
  <c r="C212" i="2"/>
  <c r="C208" i="2"/>
  <c r="C211" i="2"/>
  <c r="C210" i="2"/>
  <c r="C215" i="2"/>
  <c r="C216" i="2"/>
  <c r="F288" i="2"/>
  <c r="F293" i="2"/>
  <c r="F286" i="2"/>
  <c r="F285" i="2"/>
  <c r="F287" i="2"/>
  <c r="F292" i="2"/>
  <c r="F290" i="2"/>
  <c r="F498" i="2"/>
  <c r="F291" i="2"/>
  <c r="D304" i="2" l="1"/>
  <c r="D302" i="2"/>
  <c r="D297" i="2"/>
  <c r="D303" i="2"/>
  <c r="D301" i="2"/>
  <c r="D296" i="2"/>
  <c r="D299" i="2"/>
  <c r="D298" i="2"/>
  <c r="D509" i="2"/>
  <c r="F229" i="2"/>
  <c r="A230" i="2"/>
  <c r="A231" i="2" s="1"/>
  <c r="A232" i="2" s="1"/>
  <c r="A233" i="2" s="1"/>
  <c r="A234" i="2" s="1"/>
  <c r="A235" i="2" s="1"/>
  <c r="A236" i="2" s="1"/>
  <c r="A237" i="2" s="1"/>
  <c r="A238" i="2" s="1"/>
  <c r="A239" i="2" s="1"/>
  <c r="A240" i="2" s="1"/>
  <c r="C223" i="2"/>
  <c r="C227" i="2"/>
  <c r="C222" i="2"/>
  <c r="C226" i="2"/>
  <c r="C221" i="2"/>
  <c r="C225" i="2"/>
  <c r="C224" i="2"/>
  <c r="C220" i="2"/>
  <c r="C219" i="2"/>
  <c r="F296" i="2"/>
  <c r="F302" i="2"/>
  <c r="F298" i="2"/>
  <c r="F509" i="2"/>
  <c r="F304" i="2"/>
  <c r="F303" i="2"/>
  <c r="F301" i="2"/>
  <c r="F297" i="2"/>
  <c r="F299" i="2"/>
  <c r="D310" i="2" l="1"/>
  <c r="D308" i="2"/>
  <c r="D309" i="2"/>
  <c r="D314" i="2"/>
  <c r="D307" i="2"/>
  <c r="D313" i="2"/>
  <c r="D312" i="2"/>
  <c r="D315" i="2"/>
  <c r="D520" i="2"/>
  <c r="F240" i="2"/>
  <c r="A241" i="2"/>
  <c r="A242" i="2" s="1"/>
  <c r="A243" i="2" s="1"/>
  <c r="A244" i="2" s="1"/>
  <c r="A245" i="2" s="1"/>
  <c r="A246" i="2" s="1"/>
  <c r="A247" i="2" s="1"/>
  <c r="A248" i="2" s="1"/>
  <c r="A249" i="2" s="1"/>
  <c r="A250" i="2" s="1"/>
  <c r="A251" i="2" s="1"/>
  <c r="C234" i="2"/>
  <c r="C233" i="2"/>
  <c r="C230" i="2"/>
  <c r="C232" i="2"/>
  <c r="C235" i="2"/>
  <c r="C231" i="2"/>
  <c r="C238" i="2"/>
  <c r="C237" i="2"/>
  <c r="C236" i="2"/>
  <c r="F310" i="2"/>
  <c r="F314" i="2"/>
  <c r="F309" i="2"/>
  <c r="F520" i="2"/>
  <c r="F308" i="2"/>
  <c r="F315" i="2"/>
  <c r="F312" i="2"/>
  <c r="F313" i="2"/>
  <c r="F307" i="2"/>
  <c r="D320" i="2" l="1"/>
  <c r="D324" i="2"/>
  <c r="D319" i="2"/>
  <c r="D326" i="2"/>
  <c r="D325" i="2"/>
  <c r="D323" i="2"/>
  <c r="D318" i="2"/>
  <c r="D321" i="2"/>
  <c r="D531" i="2"/>
  <c r="F251" i="2"/>
  <c r="A252" i="2"/>
  <c r="A253" i="2" s="1"/>
  <c r="A254" i="2" s="1"/>
  <c r="A255" i="2" s="1"/>
  <c r="A256" i="2" s="1"/>
  <c r="A257" i="2" s="1"/>
  <c r="A258" i="2" s="1"/>
  <c r="A259" i="2" s="1"/>
  <c r="A260" i="2" s="1"/>
  <c r="A261" i="2" s="1"/>
  <c r="A262" i="2" s="1"/>
  <c r="C246" i="2"/>
  <c r="C243" i="2"/>
  <c r="C247" i="2"/>
  <c r="C242" i="2"/>
  <c r="C241" i="2"/>
  <c r="C249" i="2"/>
  <c r="C248" i="2"/>
  <c r="C245" i="2"/>
  <c r="C244" i="2"/>
  <c r="F320" i="2"/>
  <c r="F326" i="2"/>
  <c r="F319" i="2"/>
  <c r="F531" i="2"/>
  <c r="F324" i="2"/>
  <c r="F325" i="2"/>
  <c r="F321" i="2"/>
  <c r="F318" i="2"/>
  <c r="F323" i="2"/>
  <c r="D337" i="2" l="1"/>
  <c r="D330" i="2"/>
  <c r="D332" i="2"/>
  <c r="D334" i="2"/>
  <c r="D335" i="2"/>
  <c r="D329" i="2"/>
  <c r="D336" i="2"/>
  <c r="D331" i="2"/>
  <c r="D542" i="2"/>
  <c r="F262" i="2"/>
  <c r="A263" i="2"/>
  <c r="A264" i="2" s="1"/>
  <c r="A265" i="2" s="1"/>
  <c r="A266" i="2" s="1"/>
  <c r="A267" i="2" s="1"/>
  <c r="A268" i="2" s="1"/>
  <c r="A269" i="2" s="1"/>
  <c r="A270" i="2" s="1"/>
  <c r="A271" i="2" s="1"/>
  <c r="A272" i="2" s="1"/>
  <c r="A273" i="2" s="1"/>
  <c r="C254" i="2"/>
  <c r="C260" i="2"/>
  <c r="C253" i="2"/>
  <c r="C252" i="2"/>
  <c r="C259" i="2"/>
  <c r="C255" i="2"/>
  <c r="C258" i="2"/>
  <c r="C256" i="2"/>
  <c r="C257" i="2"/>
  <c r="F337" i="2"/>
  <c r="F331" i="2"/>
  <c r="F334" i="2"/>
  <c r="F542" i="2"/>
  <c r="F332" i="2"/>
  <c r="F335" i="2"/>
  <c r="F330" i="2"/>
  <c r="F329" i="2"/>
  <c r="F336" i="2"/>
  <c r="D347" i="2" l="1"/>
  <c r="D343" i="2"/>
  <c r="D341" i="2"/>
  <c r="D342" i="2"/>
  <c r="D345" i="2"/>
  <c r="D340" i="2"/>
  <c r="D346" i="2"/>
  <c r="D348" i="2"/>
  <c r="D554" i="2"/>
  <c r="F273" i="2"/>
  <c r="A274" i="2"/>
  <c r="A275" i="2" s="1"/>
  <c r="A276" i="2" s="1"/>
  <c r="A277" i="2" s="1"/>
  <c r="A278" i="2" s="1"/>
  <c r="A279" i="2" s="1"/>
  <c r="A280" i="2" s="1"/>
  <c r="A281" i="2" s="1"/>
  <c r="A282" i="2" s="1"/>
  <c r="A283" i="2" s="1"/>
  <c r="A284" i="2" s="1"/>
  <c r="C271" i="2"/>
  <c r="C268" i="2"/>
  <c r="C270" i="2"/>
  <c r="C269" i="2"/>
  <c r="C267" i="2"/>
  <c r="C266" i="2"/>
  <c r="C263" i="2"/>
  <c r="C265" i="2"/>
  <c r="C264" i="2"/>
  <c r="F347" i="2"/>
  <c r="F345" i="2"/>
  <c r="F340" i="2"/>
  <c r="F346" i="2"/>
  <c r="F343" i="2"/>
  <c r="F341" i="2"/>
  <c r="F348" i="2"/>
  <c r="F554" i="2"/>
  <c r="F342" i="2"/>
  <c r="D357" i="2" l="1"/>
  <c r="D352" i="2"/>
  <c r="D359" i="2"/>
  <c r="D353" i="2"/>
  <c r="D354" i="2"/>
  <c r="D351" i="2"/>
  <c r="D356" i="2"/>
  <c r="D358" i="2"/>
  <c r="F284" i="2"/>
  <c r="A285" i="2"/>
  <c r="A286" i="2" s="1"/>
  <c r="A287" i="2" s="1"/>
  <c r="A288" i="2" s="1"/>
  <c r="A289" i="2" s="1"/>
  <c r="A290" i="2" s="1"/>
  <c r="A291" i="2" s="1"/>
  <c r="A292" i="2" s="1"/>
  <c r="A293" i="2" s="1"/>
  <c r="A294" i="2" s="1"/>
  <c r="A295" i="2" s="1"/>
  <c r="C274" i="2"/>
  <c r="C279" i="2"/>
  <c r="C281" i="2"/>
  <c r="C275" i="2"/>
  <c r="C280" i="2"/>
  <c r="C282" i="2"/>
  <c r="C278" i="2"/>
  <c r="C277" i="2"/>
  <c r="C276" i="2"/>
  <c r="F353" i="2"/>
  <c r="F359" i="2"/>
  <c r="F356" i="2"/>
  <c r="F358" i="2"/>
  <c r="F354" i="2"/>
  <c r="F352" i="2"/>
  <c r="F351" i="2"/>
  <c r="F357" i="2"/>
  <c r="D370" i="2" l="1"/>
  <c r="D362" i="2"/>
  <c r="D363" i="2"/>
  <c r="D369" i="2"/>
  <c r="D364" i="2"/>
  <c r="D367" i="2"/>
  <c r="D365" i="2"/>
  <c r="D368" i="2"/>
  <c r="F295" i="2"/>
  <c r="A296" i="2"/>
  <c r="A297" i="2" s="1"/>
  <c r="A298" i="2" s="1"/>
  <c r="A299" i="2" s="1"/>
  <c r="A300" i="2" s="1"/>
  <c r="A301" i="2" s="1"/>
  <c r="A302" i="2" s="1"/>
  <c r="A303" i="2" s="1"/>
  <c r="A304" i="2" s="1"/>
  <c r="A305" i="2" s="1"/>
  <c r="A306" i="2" s="1"/>
  <c r="C292" i="2"/>
  <c r="C287" i="2"/>
  <c r="C293" i="2"/>
  <c r="C291" i="2"/>
  <c r="C288" i="2"/>
  <c r="C286" i="2"/>
  <c r="C290" i="2"/>
  <c r="C289" i="2"/>
  <c r="C285" i="2"/>
  <c r="F364" i="2"/>
  <c r="F362" i="2"/>
  <c r="F370" i="2"/>
  <c r="F363" i="2"/>
  <c r="F369" i="2"/>
  <c r="F368" i="2"/>
  <c r="F365" i="2"/>
  <c r="F367" i="2"/>
  <c r="D379" i="2" l="1"/>
  <c r="D380" i="2"/>
  <c r="D376" i="2"/>
  <c r="D374" i="2"/>
  <c r="D378" i="2"/>
  <c r="D373" i="2"/>
  <c r="D375" i="2"/>
  <c r="D381" i="2"/>
  <c r="F306" i="2"/>
  <c r="A307" i="2"/>
  <c r="A308" i="2" s="1"/>
  <c r="A309" i="2" s="1"/>
  <c r="A310" i="2" s="1"/>
  <c r="A311" i="2" s="1"/>
  <c r="A312" i="2" s="1"/>
  <c r="A313" i="2" s="1"/>
  <c r="A314" i="2" s="1"/>
  <c r="A315" i="2" s="1"/>
  <c r="A316" i="2" s="1"/>
  <c r="A317" i="2" s="1"/>
  <c r="C304" i="2"/>
  <c r="C301" i="2"/>
  <c r="C300" i="2"/>
  <c r="C299" i="2"/>
  <c r="C303" i="2"/>
  <c r="C302" i="2"/>
  <c r="C298" i="2"/>
  <c r="C297" i="2"/>
  <c r="C296" i="2"/>
  <c r="F374" i="2"/>
  <c r="F381" i="2"/>
  <c r="F378" i="2"/>
  <c r="F373" i="2"/>
  <c r="F375" i="2"/>
  <c r="F379" i="2"/>
  <c r="F376" i="2"/>
  <c r="F380" i="2"/>
  <c r="D392" i="2" l="1"/>
  <c r="D385" i="2"/>
  <c r="D386" i="2"/>
  <c r="D387" i="2"/>
  <c r="D384" i="2"/>
  <c r="D391" i="2"/>
  <c r="D389" i="2"/>
  <c r="D390" i="2"/>
  <c r="F317" i="2"/>
  <c r="A318" i="2"/>
  <c r="A319" i="2" s="1"/>
  <c r="A320" i="2" s="1"/>
  <c r="A321" i="2" s="1"/>
  <c r="A322" i="2" s="1"/>
  <c r="A323" i="2" s="1"/>
  <c r="A324" i="2" s="1"/>
  <c r="A325" i="2" s="1"/>
  <c r="A326" i="2" s="1"/>
  <c r="A327" i="2" s="1"/>
  <c r="A328" i="2" s="1"/>
  <c r="C312" i="2"/>
  <c r="C311" i="2"/>
  <c r="C308" i="2"/>
  <c r="C310" i="2"/>
  <c r="C309" i="2"/>
  <c r="C307" i="2"/>
  <c r="C313" i="2"/>
  <c r="C315" i="2"/>
  <c r="C314" i="2"/>
  <c r="F386" i="2"/>
  <c r="F391" i="2"/>
  <c r="F385" i="2"/>
  <c r="F384" i="2"/>
  <c r="F389" i="2"/>
  <c r="F387" i="2"/>
  <c r="F390" i="2"/>
  <c r="F392" i="2"/>
  <c r="D401" i="2" l="1"/>
  <c r="D398" i="2"/>
  <c r="D400" i="2"/>
  <c r="D397" i="2"/>
  <c r="D402" i="2"/>
  <c r="D396" i="2"/>
  <c r="D395" i="2"/>
  <c r="D403" i="2"/>
  <c r="F328" i="2"/>
  <c r="A329" i="2"/>
  <c r="A330" i="2" s="1"/>
  <c r="A331" i="2" s="1"/>
  <c r="A332" i="2" s="1"/>
  <c r="A333" i="2" s="1"/>
  <c r="A334" i="2" s="1"/>
  <c r="A335" i="2" s="1"/>
  <c r="A336" i="2" s="1"/>
  <c r="A337" i="2" s="1"/>
  <c r="A338" i="2" s="1"/>
  <c r="A339" i="2" s="1"/>
  <c r="C320" i="2"/>
  <c r="C319" i="2"/>
  <c r="C321" i="2"/>
  <c r="C326" i="2"/>
  <c r="C325" i="2"/>
  <c r="C324" i="2"/>
  <c r="C323" i="2"/>
  <c r="C322" i="2"/>
  <c r="C318" i="2"/>
  <c r="F400" i="2"/>
  <c r="F401" i="2"/>
  <c r="F397" i="2"/>
  <c r="F395" i="2"/>
  <c r="F403" i="2"/>
  <c r="F398" i="2"/>
  <c r="F402" i="2"/>
  <c r="F396" i="2"/>
  <c r="D408" i="2" l="1"/>
  <c r="D406" i="2"/>
  <c r="D407" i="2"/>
  <c r="D409" i="2"/>
  <c r="D414" i="2"/>
  <c r="D411" i="2"/>
  <c r="D413" i="2"/>
  <c r="D412" i="2"/>
  <c r="F339" i="2"/>
  <c r="A340" i="2"/>
  <c r="A341" i="2" s="1"/>
  <c r="A342" i="2" s="1"/>
  <c r="A343" i="2" s="1"/>
  <c r="A344" i="2" s="1"/>
  <c r="A345" i="2" s="1"/>
  <c r="A346" i="2" s="1"/>
  <c r="A347" i="2" s="1"/>
  <c r="A348" i="2" s="1"/>
  <c r="A349" i="2" s="1"/>
  <c r="A350" i="2" s="1"/>
  <c r="C332" i="2"/>
  <c r="C331" i="2"/>
  <c r="C337" i="2"/>
  <c r="C330" i="2"/>
  <c r="C329" i="2"/>
  <c r="C333" i="2"/>
  <c r="C336" i="2"/>
  <c r="C334" i="2"/>
  <c r="C335" i="2"/>
  <c r="F411" i="2"/>
  <c r="F412" i="2"/>
  <c r="F406" i="2"/>
  <c r="F409" i="2"/>
  <c r="F408" i="2"/>
  <c r="F414" i="2"/>
  <c r="F407" i="2"/>
  <c r="F413" i="2"/>
  <c r="D422" i="2" l="1"/>
  <c r="D417" i="2"/>
  <c r="D423" i="2"/>
  <c r="D420" i="2"/>
  <c r="D424" i="2"/>
  <c r="D418" i="2"/>
  <c r="D425" i="2"/>
  <c r="D419" i="2"/>
  <c r="F350" i="2"/>
  <c r="A351" i="2"/>
  <c r="A352" i="2" s="1"/>
  <c r="A353" i="2" s="1"/>
  <c r="A354" i="2" s="1"/>
  <c r="A355" i="2" s="1"/>
  <c r="A356" i="2" s="1"/>
  <c r="A357" i="2" s="1"/>
  <c r="A358" i="2" s="1"/>
  <c r="A359" i="2" s="1"/>
  <c r="A360" i="2" s="1"/>
  <c r="A361" i="2" s="1"/>
  <c r="C344" i="2"/>
  <c r="C341" i="2"/>
  <c r="C346" i="2"/>
  <c r="C348" i="2"/>
  <c r="C347" i="2"/>
  <c r="C340" i="2"/>
  <c r="C345" i="2"/>
  <c r="C343" i="2"/>
  <c r="C342" i="2"/>
  <c r="F422" i="2"/>
  <c r="F420" i="2"/>
  <c r="F425" i="2"/>
  <c r="F424" i="2"/>
  <c r="F418" i="2"/>
  <c r="F423" i="2"/>
  <c r="F417" i="2"/>
  <c r="F419" i="2"/>
  <c r="D429" i="2" l="1"/>
  <c r="D428" i="2"/>
  <c r="D430" i="2"/>
  <c r="D431" i="2"/>
  <c r="D436" i="2"/>
  <c r="D434" i="2"/>
  <c r="D435" i="2"/>
  <c r="D433" i="2"/>
  <c r="F361" i="2"/>
  <c r="A362" i="2"/>
  <c r="A363" i="2" s="1"/>
  <c r="A364" i="2" s="1"/>
  <c r="A365" i="2" s="1"/>
  <c r="A366" i="2" s="1"/>
  <c r="A367" i="2" s="1"/>
  <c r="A368" i="2" s="1"/>
  <c r="A369" i="2" s="1"/>
  <c r="A370" i="2" s="1"/>
  <c r="A371" i="2" s="1"/>
  <c r="A372" i="2" s="1"/>
  <c r="C352" i="2"/>
  <c r="C351" i="2"/>
  <c r="C359" i="2"/>
  <c r="C358" i="2"/>
  <c r="C353" i="2"/>
  <c r="C357" i="2"/>
  <c r="C356" i="2"/>
  <c r="C355" i="2"/>
  <c r="C354" i="2"/>
  <c r="F431" i="2"/>
  <c r="F433" i="2"/>
  <c r="F429" i="2"/>
  <c r="F430" i="2"/>
  <c r="F428" i="2"/>
  <c r="F435" i="2"/>
  <c r="F434" i="2"/>
  <c r="F436" i="2"/>
  <c r="D444" i="2" l="1"/>
  <c r="D442" i="2"/>
  <c r="D446" i="2"/>
  <c r="D441" i="2"/>
  <c r="D445" i="2"/>
  <c r="D439" i="2"/>
  <c r="D447" i="2"/>
  <c r="D440" i="2"/>
  <c r="F372" i="2"/>
  <c r="A373" i="2"/>
  <c r="A374" i="2" s="1"/>
  <c r="A375" i="2" s="1"/>
  <c r="A376" i="2" s="1"/>
  <c r="A377" i="2" s="1"/>
  <c r="A378" i="2" s="1"/>
  <c r="A379" i="2" s="1"/>
  <c r="A380" i="2" s="1"/>
  <c r="A381" i="2" s="1"/>
  <c r="A382" i="2" s="1"/>
  <c r="A383" i="2" s="1"/>
  <c r="C370" i="2"/>
  <c r="C369" i="2"/>
  <c r="C366" i="2"/>
  <c r="C368" i="2"/>
  <c r="C367" i="2"/>
  <c r="C365" i="2"/>
  <c r="C364" i="2"/>
  <c r="C363" i="2"/>
  <c r="C362" i="2"/>
  <c r="F440" i="2"/>
  <c r="F445" i="2"/>
  <c r="F447" i="2"/>
  <c r="F446" i="2"/>
  <c r="F444" i="2"/>
  <c r="F442" i="2"/>
  <c r="F441" i="2"/>
  <c r="F439" i="2"/>
  <c r="D451" i="2" l="1"/>
  <c r="D452" i="2"/>
  <c r="D458" i="2"/>
  <c r="D457" i="2"/>
  <c r="D450" i="2"/>
  <c r="D453" i="2"/>
  <c r="D456" i="2"/>
  <c r="D455" i="2"/>
  <c r="F383" i="2"/>
  <c r="A384" i="2"/>
  <c r="A385" i="2" s="1"/>
  <c r="A386" i="2" s="1"/>
  <c r="A387" i="2" s="1"/>
  <c r="A388" i="2" s="1"/>
  <c r="A389" i="2" s="1"/>
  <c r="A390" i="2" s="1"/>
  <c r="A391" i="2" s="1"/>
  <c r="A392" i="2" s="1"/>
  <c r="A393" i="2" s="1"/>
  <c r="A394" i="2" s="1"/>
  <c r="C379" i="2"/>
  <c r="C377" i="2"/>
  <c r="C378" i="2"/>
  <c r="C381" i="2"/>
  <c r="C380" i="2"/>
  <c r="C376" i="2"/>
  <c r="C373" i="2"/>
  <c r="C375" i="2"/>
  <c r="C374" i="2"/>
  <c r="F458" i="2"/>
  <c r="F452" i="2"/>
  <c r="F456" i="2"/>
  <c r="F451" i="2"/>
  <c r="F453" i="2"/>
  <c r="F457" i="2"/>
  <c r="F450" i="2"/>
  <c r="F455" i="2"/>
  <c r="D466" i="2" l="1"/>
  <c r="D468" i="2"/>
  <c r="D467" i="2"/>
  <c r="D469" i="2"/>
  <c r="D464" i="2"/>
  <c r="D463" i="2"/>
  <c r="D461" i="2"/>
  <c r="D462" i="2"/>
  <c r="F394" i="2"/>
  <c r="A395" i="2"/>
  <c r="A396" i="2" s="1"/>
  <c r="A397" i="2" s="1"/>
  <c r="A398" i="2" s="1"/>
  <c r="A399" i="2" s="1"/>
  <c r="A400" i="2" s="1"/>
  <c r="A401" i="2" s="1"/>
  <c r="A402" i="2" s="1"/>
  <c r="A403" i="2" s="1"/>
  <c r="A404" i="2" s="1"/>
  <c r="A405" i="2" s="1"/>
  <c r="C390" i="2"/>
  <c r="C385" i="2"/>
  <c r="C389" i="2"/>
  <c r="C386" i="2"/>
  <c r="C388" i="2"/>
  <c r="C387" i="2"/>
  <c r="C384" i="2"/>
  <c r="C392" i="2"/>
  <c r="C391" i="2"/>
  <c r="F463" i="2"/>
  <c r="F469" i="2"/>
  <c r="F462" i="2"/>
  <c r="F466" i="2"/>
  <c r="F467" i="2"/>
  <c r="F464" i="2"/>
  <c r="F468" i="2"/>
  <c r="F461" i="2"/>
  <c r="D478" i="2" l="1"/>
  <c r="D474" i="2"/>
  <c r="D479" i="2"/>
  <c r="D473" i="2"/>
  <c r="D480" i="2"/>
  <c r="D472" i="2"/>
  <c r="D475" i="2"/>
  <c r="D477" i="2"/>
  <c r="F405" i="2"/>
  <c r="A406" i="2"/>
  <c r="A407" i="2" s="1"/>
  <c r="A408" i="2" s="1"/>
  <c r="A409" i="2" s="1"/>
  <c r="A410" i="2" s="1"/>
  <c r="A411" i="2" s="1"/>
  <c r="A412" i="2" s="1"/>
  <c r="A413" i="2" s="1"/>
  <c r="A414" i="2" s="1"/>
  <c r="A415" i="2" s="1"/>
  <c r="A416" i="2" s="1"/>
  <c r="C397" i="2"/>
  <c r="C403" i="2"/>
  <c r="C399" i="2"/>
  <c r="C402" i="2"/>
  <c r="C401" i="2"/>
  <c r="C398" i="2"/>
  <c r="C400" i="2"/>
  <c r="C396" i="2"/>
  <c r="C395" i="2"/>
  <c r="F474" i="2"/>
  <c r="F475" i="2"/>
  <c r="F479" i="2"/>
  <c r="F478" i="2"/>
  <c r="F480" i="2"/>
  <c r="F477" i="2"/>
  <c r="F472" i="2"/>
  <c r="F473" i="2"/>
  <c r="D488" i="2" l="1"/>
  <c r="D484" i="2"/>
  <c r="D486" i="2"/>
  <c r="D490" i="2"/>
  <c r="D483" i="2"/>
  <c r="D485" i="2"/>
  <c r="D491" i="2"/>
  <c r="D489" i="2"/>
  <c r="F416" i="2"/>
  <c r="A417" i="2"/>
  <c r="A418" i="2" s="1"/>
  <c r="A419" i="2" s="1"/>
  <c r="A420" i="2" s="1"/>
  <c r="A421" i="2" s="1"/>
  <c r="A422" i="2" s="1"/>
  <c r="A423" i="2" s="1"/>
  <c r="A424" i="2" s="1"/>
  <c r="A425" i="2" s="1"/>
  <c r="A426" i="2" s="1"/>
  <c r="A427" i="2" s="1"/>
  <c r="C410" i="2"/>
  <c r="C411" i="2"/>
  <c r="C409" i="2"/>
  <c r="C406" i="2"/>
  <c r="C408" i="2"/>
  <c r="C407" i="2"/>
  <c r="C414" i="2"/>
  <c r="C413" i="2"/>
  <c r="C412" i="2"/>
  <c r="F489" i="2"/>
  <c r="F485" i="2"/>
  <c r="F484" i="2"/>
  <c r="F483" i="2"/>
  <c r="F490" i="2"/>
  <c r="F491" i="2"/>
  <c r="F486" i="2"/>
  <c r="F488" i="2"/>
  <c r="D500" i="2" l="1"/>
  <c r="D501" i="2"/>
  <c r="D502" i="2"/>
  <c r="D497" i="2"/>
  <c r="D496" i="2"/>
  <c r="D495" i="2"/>
  <c r="D494" i="2"/>
  <c r="D499" i="2"/>
  <c r="F427" i="2"/>
  <c r="A428" i="2"/>
  <c r="A429" i="2" s="1"/>
  <c r="A430" i="2" s="1"/>
  <c r="A431" i="2" s="1"/>
  <c r="A432" i="2" s="1"/>
  <c r="A433" i="2" s="1"/>
  <c r="A434" i="2" s="1"/>
  <c r="A435" i="2" s="1"/>
  <c r="A436" i="2" s="1"/>
  <c r="A437" i="2" s="1"/>
  <c r="A438" i="2" s="1"/>
  <c r="C419" i="2"/>
  <c r="C417" i="2"/>
  <c r="C425" i="2"/>
  <c r="C424" i="2"/>
  <c r="C423" i="2"/>
  <c r="C418" i="2"/>
  <c r="C422" i="2"/>
  <c r="C421" i="2"/>
  <c r="C420" i="2"/>
  <c r="F494" i="2"/>
  <c r="F501" i="2"/>
  <c r="F502" i="2"/>
  <c r="F495" i="2"/>
  <c r="F499" i="2"/>
  <c r="F497" i="2"/>
  <c r="F496" i="2"/>
  <c r="F500" i="2"/>
  <c r="D510" i="2" l="1"/>
  <c r="D508" i="2"/>
  <c r="D505" i="2"/>
  <c r="D513" i="2"/>
  <c r="D506" i="2"/>
  <c r="D512" i="2"/>
  <c r="D507" i="2"/>
  <c r="D511" i="2"/>
  <c r="F438" i="2"/>
  <c r="A439" i="2"/>
  <c r="A440" i="2" s="1"/>
  <c r="A441" i="2" s="1"/>
  <c r="A442" i="2" s="1"/>
  <c r="A443" i="2" s="1"/>
  <c r="A444" i="2" s="1"/>
  <c r="A445" i="2" s="1"/>
  <c r="A446" i="2" s="1"/>
  <c r="A447" i="2" s="1"/>
  <c r="A448" i="2" s="1"/>
  <c r="A449" i="2" s="1"/>
  <c r="C430" i="2"/>
  <c r="C429" i="2"/>
  <c r="C428" i="2"/>
  <c r="C435" i="2"/>
  <c r="C431" i="2"/>
  <c r="C436" i="2"/>
  <c r="C434" i="2"/>
  <c r="C433" i="2"/>
  <c r="C432" i="2"/>
  <c r="F508" i="2"/>
  <c r="F506" i="2"/>
  <c r="F505" i="2"/>
  <c r="F513" i="2"/>
  <c r="F510" i="2"/>
  <c r="F507" i="2"/>
  <c r="F511" i="2"/>
  <c r="F512" i="2"/>
  <c r="D522" i="2" l="1"/>
  <c r="D524" i="2"/>
  <c r="D518" i="2"/>
  <c r="D516" i="2"/>
  <c r="D523" i="2"/>
  <c r="D519" i="2"/>
  <c r="D517" i="2"/>
  <c r="D521" i="2"/>
  <c r="F449" i="2"/>
  <c r="A450" i="2"/>
  <c r="A451" i="2" s="1"/>
  <c r="A452" i="2" s="1"/>
  <c r="A453" i="2" s="1"/>
  <c r="A454" i="2" s="1"/>
  <c r="A455" i="2" s="1"/>
  <c r="A456" i="2" s="1"/>
  <c r="A457" i="2" s="1"/>
  <c r="A458" i="2" s="1"/>
  <c r="A459" i="2" s="1"/>
  <c r="A460" i="2" s="1"/>
  <c r="C442" i="2"/>
  <c r="C439" i="2"/>
  <c r="C447" i="2"/>
  <c r="C444" i="2"/>
  <c r="C446" i="2"/>
  <c r="C445" i="2"/>
  <c r="C443" i="2"/>
  <c r="C441" i="2"/>
  <c r="C440" i="2"/>
  <c r="F524" i="2"/>
  <c r="F516" i="2"/>
  <c r="F522" i="2"/>
  <c r="F523" i="2"/>
  <c r="F519" i="2"/>
  <c r="F517" i="2"/>
  <c r="F521" i="2"/>
  <c r="F518" i="2"/>
  <c r="D532" i="2" l="1"/>
  <c r="D527" i="2"/>
  <c r="D528" i="2"/>
  <c r="D529" i="2"/>
  <c r="D530" i="2"/>
  <c r="D535" i="2"/>
  <c r="D534" i="2"/>
  <c r="D533" i="2"/>
  <c r="F460" i="2"/>
  <c r="A461" i="2"/>
  <c r="A462" i="2" s="1"/>
  <c r="A463" i="2" s="1"/>
  <c r="A464" i="2" s="1"/>
  <c r="A465" i="2" s="1"/>
  <c r="A466" i="2" s="1"/>
  <c r="A467" i="2" s="1"/>
  <c r="A468" i="2" s="1"/>
  <c r="A469" i="2" s="1"/>
  <c r="A470" i="2" s="1"/>
  <c r="A471" i="2" s="1"/>
  <c r="C450" i="2"/>
  <c r="C457" i="2"/>
  <c r="C456" i="2"/>
  <c r="C451" i="2"/>
  <c r="C458" i="2"/>
  <c r="C455" i="2"/>
  <c r="C454" i="2"/>
  <c r="C453" i="2"/>
  <c r="C452" i="2"/>
  <c r="F534" i="2"/>
  <c r="F533" i="2"/>
  <c r="F535" i="2"/>
  <c r="F530" i="2"/>
  <c r="F527" i="2"/>
  <c r="F529" i="2"/>
  <c r="F528" i="2"/>
  <c r="F532" i="2"/>
  <c r="D545" i="2" l="1"/>
  <c r="D539" i="2"/>
  <c r="D546" i="2"/>
  <c r="D538" i="2"/>
  <c r="D544" i="2"/>
  <c r="D540" i="2"/>
  <c r="D541" i="2"/>
  <c r="D543" i="2"/>
  <c r="F471" i="2"/>
  <c r="A472" i="2"/>
  <c r="A473" i="2" s="1"/>
  <c r="A474" i="2" s="1"/>
  <c r="A475" i="2" s="1"/>
  <c r="A476" i="2" s="1"/>
  <c r="A477" i="2" s="1"/>
  <c r="A478" i="2" s="1"/>
  <c r="A479" i="2" s="1"/>
  <c r="A480" i="2" s="1"/>
  <c r="A481" i="2" s="1"/>
  <c r="A482" i="2" s="1"/>
  <c r="C468" i="2"/>
  <c r="C467" i="2"/>
  <c r="C466" i="2"/>
  <c r="C469" i="2"/>
  <c r="C465" i="2"/>
  <c r="C464" i="2"/>
  <c r="C462" i="2"/>
  <c r="C463" i="2"/>
  <c r="C461" i="2"/>
  <c r="F541" i="2"/>
  <c r="F544" i="2"/>
  <c r="F546" i="2"/>
  <c r="F540" i="2"/>
  <c r="F539" i="2"/>
  <c r="F538" i="2"/>
  <c r="F543" i="2"/>
  <c r="F545" i="2"/>
  <c r="D555" i="2" l="1"/>
  <c r="D550" i="2"/>
  <c r="D553" i="2"/>
  <c r="D558" i="2"/>
  <c r="D552" i="2"/>
  <c r="D551" i="2"/>
  <c r="D556" i="2"/>
  <c r="D557" i="2"/>
  <c r="F482" i="2"/>
  <c r="A483" i="2"/>
  <c r="A484" i="2" s="1"/>
  <c r="A485" i="2" s="1"/>
  <c r="A486" i="2" s="1"/>
  <c r="A487" i="2" s="1"/>
  <c r="A488" i="2" s="1"/>
  <c r="A489" i="2" s="1"/>
  <c r="A490" i="2" s="1"/>
  <c r="A491" i="2" s="1"/>
  <c r="A492" i="2" s="1"/>
  <c r="A493" i="2" s="1"/>
  <c r="C476" i="2"/>
  <c r="C477" i="2"/>
  <c r="C480" i="2"/>
  <c r="C479" i="2"/>
  <c r="C475" i="2"/>
  <c r="C478" i="2"/>
  <c r="C474" i="2"/>
  <c r="C472" i="2"/>
  <c r="C473" i="2"/>
  <c r="F557" i="2"/>
  <c r="F552" i="2"/>
  <c r="F558" i="2"/>
  <c r="F551" i="2"/>
  <c r="F556" i="2"/>
  <c r="F555" i="2"/>
  <c r="F553" i="2"/>
  <c r="F550" i="2"/>
  <c r="F493" i="2" l="1"/>
  <c r="A494" i="2"/>
  <c r="A495" i="2" s="1"/>
  <c r="A496" i="2" s="1"/>
  <c r="A497" i="2" s="1"/>
  <c r="A498" i="2" s="1"/>
  <c r="A499" i="2" s="1"/>
  <c r="A500" i="2" s="1"/>
  <c r="A501" i="2" s="1"/>
  <c r="A502" i="2" s="1"/>
  <c r="A503" i="2" s="1"/>
  <c r="A504" i="2" s="1"/>
  <c r="C488" i="2"/>
  <c r="C487" i="2"/>
  <c r="C484" i="2"/>
  <c r="C486" i="2"/>
  <c r="C485" i="2"/>
  <c r="C489" i="2"/>
  <c r="C483" i="2"/>
  <c r="C491" i="2"/>
  <c r="C490" i="2"/>
  <c r="F504" i="2" l="1"/>
  <c r="A505" i="2"/>
  <c r="A506" i="2" s="1"/>
  <c r="A507" i="2" s="1"/>
  <c r="A508" i="2" s="1"/>
  <c r="A509" i="2" s="1"/>
  <c r="A510" i="2" s="1"/>
  <c r="A511" i="2" s="1"/>
  <c r="A512" i="2" s="1"/>
  <c r="A513" i="2" s="1"/>
  <c r="A514" i="2" s="1"/>
  <c r="A515" i="2" s="1"/>
  <c r="C495" i="2"/>
  <c r="C497" i="2"/>
  <c r="C496" i="2"/>
  <c r="C502" i="2"/>
  <c r="C501" i="2"/>
  <c r="C500" i="2"/>
  <c r="C499" i="2"/>
  <c r="C498" i="2"/>
  <c r="C494" i="2"/>
  <c r="F515" i="2" l="1"/>
  <c r="A516" i="2"/>
  <c r="A517" i="2" s="1"/>
  <c r="A518" i="2" s="1"/>
  <c r="A519" i="2" s="1"/>
  <c r="A520" i="2" s="1"/>
  <c r="A521" i="2" s="1"/>
  <c r="A522" i="2" s="1"/>
  <c r="A523" i="2" s="1"/>
  <c r="A524" i="2" s="1"/>
  <c r="A525" i="2" s="1"/>
  <c r="A526" i="2" s="1"/>
  <c r="C508" i="2"/>
  <c r="C507" i="2"/>
  <c r="C506" i="2"/>
  <c r="C505" i="2"/>
  <c r="C513" i="2"/>
  <c r="C509" i="2"/>
  <c r="C512" i="2"/>
  <c r="C511" i="2"/>
  <c r="C510" i="2"/>
  <c r="F526" i="2" l="1"/>
  <c r="A527" i="2"/>
  <c r="A528" i="2" s="1"/>
  <c r="A529" i="2" s="1"/>
  <c r="A530" i="2" s="1"/>
  <c r="A531" i="2" s="1"/>
  <c r="A532" i="2" s="1"/>
  <c r="A533" i="2" s="1"/>
  <c r="A534" i="2" s="1"/>
  <c r="A535" i="2" s="1"/>
  <c r="A536" i="2" s="1"/>
  <c r="A537" i="2" s="1"/>
  <c r="C517" i="2"/>
  <c r="C524" i="2"/>
  <c r="C516" i="2"/>
  <c r="C523" i="2"/>
  <c r="C522" i="2"/>
  <c r="C521" i="2"/>
  <c r="C520" i="2"/>
  <c r="C519" i="2"/>
  <c r="C518" i="2"/>
  <c r="F537" i="2" l="1"/>
  <c r="A538" i="2"/>
  <c r="A539" i="2" s="1"/>
  <c r="A540" i="2" s="1"/>
  <c r="A541" i="2" s="1"/>
  <c r="A542" i="2" s="1"/>
  <c r="A543" i="2" s="1"/>
  <c r="A544" i="2" s="1"/>
  <c r="A545" i="2" s="1"/>
  <c r="A546" i="2" s="1"/>
  <c r="A547" i="2" s="1"/>
  <c r="C528" i="2"/>
  <c r="C535" i="2"/>
  <c r="C534" i="2"/>
  <c r="C527" i="2"/>
  <c r="C533" i="2"/>
  <c r="C529" i="2"/>
  <c r="C532" i="2"/>
  <c r="C531" i="2"/>
  <c r="C530" i="2"/>
  <c r="C546" i="2" l="1"/>
  <c r="C545" i="2"/>
  <c r="C544" i="2"/>
  <c r="C543" i="2"/>
  <c r="C542" i="2"/>
  <c r="C541" i="2"/>
  <c r="C540" i="2"/>
  <c r="C539" i="2"/>
  <c r="C538" i="2"/>
  <c r="H10" i="2" l="1"/>
  <c r="M216" i="2"/>
  <c r="J15" i="2"/>
  <c r="J49" i="2"/>
  <c r="K203" i="2"/>
  <c r="J192" i="2"/>
  <c r="K71" i="2"/>
  <c r="J115" i="2"/>
  <c r="L160" i="2"/>
  <c r="J127" i="2"/>
  <c r="K204" i="2"/>
  <c r="J73" i="2"/>
  <c r="K51" i="2"/>
  <c r="M95" i="2"/>
  <c r="J25" i="2"/>
  <c r="J146" i="2"/>
  <c r="J125" i="2"/>
  <c r="J37" i="2"/>
  <c r="K213" i="2"/>
  <c r="J70" i="2"/>
  <c r="J137" i="2"/>
  <c r="J181" i="2"/>
  <c r="J104" i="2"/>
  <c r="J148" i="2"/>
  <c r="J27" i="2"/>
  <c r="J93" i="2"/>
  <c r="J16" i="2"/>
  <c r="J214" i="2"/>
  <c r="K137" i="2"/>
  <c r="K148" i="2"/>
  <c r="J38" i="2"/>
  <c r="K115" i="2"/>
  <c r="K104" i="2"/>
  <c r="L236" i="2"/>
  <c r="J82" i="2"/>
  <c r="J236" i="2"/>
  <c r="J170" i="2"/>
  <c r="J71" i="2"/>
  <c r="J225" i="2"/>
  <c r="K49" i="2"/>
  <c r="K214" i="2"/>
  <c r="J126" i="2"/>
  <c r="J203" i="2"/>
  <c r="K215" i="2"/>
  <c r="J182" i="2"/>
  <c r="L17" i="2"/>
  <c r="K127" i="2"/>
  <c r="J72" i="2"/>
  <c r="K226" i="2"/>
  <c r="J83" i="2"/>
  <c r="K138" i="2"/>
  <c r="J28" i="2"/>
  <c r="J193" i="2"/>
  <c r="J215" i="2"/>
  <c r="J237" i="2"/>
  <c r="K105" i="2"/>
  <c r="J39" i="2"/>
  <c r="K160" i="2"/>
  <c r="J160" i="2"/>
  <c r="K94" i="2"/>
  <c r="J149" i="2"/>
  <c r="K72" i="2"/>
  <c r="J17" i="2"/>
  <c r="K17" i="2"/>
  <c r="J50" i="2"/>
  <c r="K193" i="2"/>
  <c r="L138" i="2"/>
  <c r="K149" i="2"/>
  <c r="K50" i="2"/>
  <c r="K171" i="2"/>
  <c r="J138" i="2"/>
  <c r="J105" i="2"/>
  <c r="K237" i="2"/>
  <c r="K39" i="2"/>
  <c r="J204" i="2"/>
  <c r="J116" i="2"/>
  <c r="J226" i="2"/>
  <c r="K28" i="2"/>
  <c r="K83" i="2"/>
  <c r="J171" i="2"/>
  <c r="L83" i="2"/>
  <c r="L106" i="2"/>
  <c r="J117" i="2"/>
  <c r="M84" i="2"/>
  <c r="L205" i="2"/>
  <c r="K106" i="2"/>
  <c r="L95" i="2"/>
  <c r="K117" i="2"/>
  <c r="J194" i="2"/>
  <c r="L18" i="2"/>
  <c r="L150" i="2"/>
  <c r="K150" i="2"/>
  <c r="L161" i="2"/>
  <c r="M51" i="2"/>
  <c r="M238" i="2"/>
  <c r="M172" i="2"/>
  <c r="L84" i="2"/>
  <c r="M139" i="2"/>
  <c r="L51" i="2"/>
  <c r="M106" i="2"/>
  <c r="K95" i="2"/>
  <c r="L29" i="2"/>
  <c r="K84" i="2"/>
  <c r="J161" i="2"/>
  <c r="J172" i="2"/>
  <c r="K18" i="2"/>
  <c r="M18" i="2"/>
  <c r="K161" i="2"/>
  <c r="L216" i="2"/>
  <c r="M205" i="2"/>
  <c r="M73" i="2"/>
  <c r="L40" i="2"/>
  <c r="K73" i="2"/>
  <c r="K40" i="2"/>
  <c r="J205" i="2"/>
  <c r="M183" i="2"/>
  <c r="K194" i="2"/>
  <c r="M29" i="2"/>
  <c r="J18" i="2"/>
  <c r="J40" i="2"/>
  <c r="L238" i="2"/>
  <c r="J139" i="2"/>
  <c r="K128" i="2"/>
  <c r="M150" i="2"/>
  <c r="M117" i="2"/>
  <c r="L128" i="2"/>
  <c r="J106" i="2"/>
  <c r="L194" i="2"/>
  <c r="L183" i="2"/>
  <c r="J51" i="2"/>
  <c r="M40" i="2"/>
  <c r="K238" i="2"/>
  <c r="L139" i="2"/>
  <c r="L117" i="2"/>
  <c r="J227" i="2"/>
  <c r="J238" i="2"/>
  <c r="K216" i="2"/>
  <c r="K227" i="2"/>
  <c r="J183" i="2"/>
  <c r="L227" i="2"/>
  <c r="N139" i="2"/>
  <c r="M227" i="2"/>
  <c r="L73" i="2"/>
  <c r="L172" i="2"/>
  <c r="M161" i="2"/>
  <c r="K172" i="2"/>
  <c r="M194" i="2"/>
  <c r="J95" i="2"/>
  <c r="J128" i="2"/>
  <c r="J150" i="2"/>
  <c r="J29" i="2"/>
  <c r="K205" i="2"/>
  <c r="J216" i="2"/>
  <c r="K29" i="2"/>
  <c r="J84" i="2"/>
  <c r="M128" i="2"/>
  <c r="K139" i="2"/>
  <c r="K183" i="2"/>
  <c r="J109" i="2"/>
  <c r="J197" i="2"/>
  <c r="J76" i="2"/>
  <c r="O10" i="2"/>
  <c r="J186" i="2"/>
  <c r="J164" i="2"/>
  <c r="J32" i="2"/>
  <c r="J10" i="2"/>
  <c r="J142" i="2"/>
  <c r="J230" i="2"/>
  <c r="J219" i="2"/>
  <c r="P154" i="2"/>
  <c r="R156" i="2"/>
  <c r="J69" i="2"/>
  <c r="J135" i="2"/>
  <c r="J124" i="2"/>
  <c r="J36" i="2"/>
  <c r="J201" i="2"/>
  <c r="J102" i="2"/>
  <c r="J14" i="2"/>
  <c r="J157" i="2"/>
  <c r="J113" i="2"/>
  <c r="J234" i="2"/>
  <c r="J179" i="2"/>
  <c r="J80" i="2"/>
  <c r="J47" i="2"/>
  <c r="J91" i="2"/>
  <c r="J212" i="2"/>
  <c r="J168" i="2"/>
  <c r="J223" i="2"/>
  <c r="J190" i="2"/>
  <c r="J147" i="2"/>
  <c r="K114" i="2"/>
  <c r="J48" i="2"/>
  <c r="K48" i="2"/>
  <c r="J81" i="2"/>
  <c r="J114" i="2"/>
  <c r="J136" i="2"/>
  <c r="K92" i="2"/>
  <c r="J180" i="2"/>
  <c r="K180" i="2"/>
  <c r="J103" i="2"/>
  <c r="J158" i="2"/>
  <c r="J92" i="2"/>
  <c r="K224" i="2"/>
  <c r="K147" i="2"/>
  <c r="K15" i="2"/>
  <c r="J191" i="2"/>
  <c r="K202" i="2"/>
  <c r="J213" i="2"/>
  <c r="K169" i="2"/>
  <c r="K37" i="2"/>
  <c r="K191" i="2"/>
  <c r="K81" i="2"/>
  <c r="K235" i="2"/>
  <c r="K125" i="2"/>
  <c r="J224" i="2"/>
  <c r="K158" i="2"/>
  <c r="K136" i="2"/>
  <c r="J202" i="2"/>
  <c r="J169" i="2"/>
  <c r="J235" i="2"/>
  <c r="K103" i="2"/>
  <c r="K26" i="2"/>
  <c r="K70" i="2"/>
  <c r="J26" i="2"/>
  <c r="K192" i="2"/>
  <c r="K38" i="2"/>
  <c r="L137" i="2"/>
  <c r="K170" i="2"/>
  <c r="L203" i="2"/>
  <c r="K126" i="2"/>
  <c r="K16" i="2"/>
  <c r="L93" i="2"/>
  <c r="L82" i="2"/>
  <c r="L115" i="2"/>
  <c r="L159" i="2"/>
  <c r="L126" i="2"/>
  <c r="K225" i="2"/>
  <c r="K93" i="2"/>
  <c r="L225" i="2"/>
  <c r="K27" i="2"/>
  <c r="J159" i="2"/>
  <c r="K236" i="2"/>
  <c r="L16" i="2"/>
  <c r="L170" i="2"/>
  <c r="L192" i="2"/>
  <c r="L181" i="2"/>
  <c r="L27" i="2"/>
  <c r="L104" i="2"/>
  <c r="K159" i="2"/>
  <c r="L71" i="2"/>
  <c r="K181" i="2"/>
  <c r="L214" i="2"/>
  <c r="K82" i="2"/>
  <c r="L38" i="2"/>
  <c r="K116" i="2"/>
  <c r="M171" i="2"/>
  <c r="L182" i="2"/>
  <c r="L226" i="2"/>
  <c r="L193" i="2"/>
  <c r="M105" i="2"/>
  <c r="L215" i="2"/>
  <c r="M204" i="2"/>
  <c r="M160" i="2"/>
  <c r="L28" i="2"/>
  <c r="M72" i="2"/>
  <c r="M116" i="2"/>
  <c r="M138" i="2"/>
  <c r="L127" i="2"/>
  <c r="M94" i="2"/>
  <c r="M215" i="2"/>
  <c r="L94" i="2"/>
  <c r="L50" i="2"/>
  <c r="M39" i="2"/>
  <c r="K182" i="2"/>
  <c r="L116" i="2"/>
  <c r="M237" i="2"/>
  <c r="L39" i="2"/>
  <c r="M182" i="2"/>
  <c r="L171" i="2"/>
  <c r="J94" i="2"/>
  <c r="M83" i="2"/>
  <c r="M149" i="2"/>
  <c r="L237" i="2"/>
  <c r="L204" i="2"/>
  <c r="L105" i="2"/>
  <c r="L149" i="2"/>
  <c r="M50" i="2"/>
  <c r="M226" i="2"/>
  <c r="L72" i="2"/>
  <c r="M28" i="2"/>
  <c r="N51" i="2"/>
  <c r="N117" i="2"/>
  <c r="N227" i="2"/>
  <c r="N95" i="2"/>
  <c r="N29" i="2"/>
  <c r="N40" i="2"/>
  <c r="N18" i="2"/>
  <c r="N194" i="2"/>
  <c r="N106" i="2"/>
  <c r="N238" i="2"/>
  <c r="N183" i="2"/>
  <c r="N128" i="2"/>
  <c r="N205" i="2"/>
  <c r="N161" i="2"/>
  <c r="N84" i="2"/>
  <c r="N216" i="2"/>
  <c r="N73" i="2"/>
  <c r="N150" i="2"/>
  <c r="N172" i="2"/>
  <c r="M98" i="2"/>
  <c r="J43" i="2"/>
  <c r="O65" i="2"/>
  <c r="M65" i="2"/>
  <c r="K76" i="2"/>
  <c r="K208" i="2"/>
  <c r="N131" i="2"/>
  <c r="K153" i="2"/>
  <c r="M197" i="2"/>
  <c r="N65" i="2"/>
  <c r="L153" i="2"/>
  <c r="L175" i="2"/>
  <c r="L131" i="2"/>
  <c r="K10" i="2"/>
  <c r="K219" i="2"/>
  <c r="M142" i="2"/>
  <c r="J87" i="2"/>
  <c r="O21" i="2"/>
  <c r="N87" i="2"/>
  <c r="L98" i="2"/>
  <c r="L164" i="2"/>
  <c r="N208" i="2"/>
  <c r="K142" i="2"/>
  <c r="L197" i="2"/>
  <c r="K131" i="2"/>
  <c r="M21" i="2"/>
  <c r="N43" i="2"/>
  <c r="N219" i="2"/>
  <c r="K230" i="2"/>
  <c r="O197" i="2"/>
  <c r="N175" i="2"/>
  <c r="K43" i="2"/>
  <c r="O219" i="2"/>
  <c r="K164" i="2"/>
  <c r="M109" i="2"/>
  <c r="L32" i="2"/>
  <c r="L21" i="2"/>
  <c r="M32" i="2"/>
  <c r="O87" i="2"/>
  <c r="M43" i="2"/>
  <c r="L120" i="2"/>
  <c r="M87" i="2"/>
  <c r="N142" i="2"/>
  <c r="M230" i="2"/>
  <c r="J98" i="2"/>
  <c r="L109" i="2"/>
  <c r="L230" i="2"/>
  <c r="N164" i="2"/>
  <c r="O32" i="2"/>
  <c r="L65" i="2"/>
  <c r="K21" i="2"/>
  <c r="M10" i="2"/>
  <c r="M208" i="2"/>
  <c r="N153" i="2"/>
  <c r="N98" i="2"/>
  <c r="K32" i="2"/>
  <c r="M175" i="2"/>
  <c r="J131" i="2"/>
  <c r="M164" i="2"/>
  <c r="O186" i="2"/>
  <c r="L43" i="2"/>
  <c r="N32" i="2"/>
  <c r="N109" i="2"/>
  <c r="M120" i="2"/>
  <c r="N76" i="2"/>
  <c r="O208" i="2"/>
  <c r="J175" i="2"/>
  <c r="L219" i="2"/>
  <c r="N120" i="2"/>
  <c r="O142" i="2"/>
  <c r="N10" i="2"/>
  <c r="J65" i="2"/>
  <c r="K186" i="2"/>
  <c r="N186" i="2"/>
  <c r="L76" i="2"/>
  <c r="K98" i="2"/>
  <c r="N197" i="2"/>
  <c r="O98" i="2"/>
  <c r="O175" i="2"/>
  <c r="K175" i="2"/>
  <c r="J208" i="2"/>
  <c r="L10" i="2"/>
  <c r="O76" i="2"/>
  <c r="M76" i="2"/>
  <c r="K65" i="2"/>
  <c r="J153" i="2"/>
  <c r="K87" i="2"/>
  <c r="K109" i="2"/>
  <c r="L186" i="2"/>
  <c r="K120" i="2"/>
  <c r="M219" i="2"/>
  <c r="M131" i="2"/>
  <c r="J21" i="2"/>
  <c r="K197" i="2"/>
  <c r="M153" i="2"/>
  <c r="L142" i="2"/>
  <c r="L87" i="2"/>
  <c r="O164" i="2"/>
  <c r="M186" i="2"/>
  <c r="N21" i="2"/>
  <c r="J120" i="2"/>
  <c r="O131" i="2"/>
  <c r="L208" i="2"/>
  <c r="N230" i="2"/>
  <c r="K110" i="2"/>
  <c r="P99" i="2"/>
  <c r="L99" i="2"/>
  <c r="J99" i="2"/>
  <c r="M154" i="2"/>
  <c r="M121" i="2"/>
  <c r="N132" i="2"/>
  <c r="L176" i="2"/>
  <c r="K143" i="2"/>
  <c r="N143" i="2"/>
  <c r="J231" i="2"/>
  <c r="L198" i="2"/>
  <c r="J44" i="2"/>
  <c r="M44" i="2"/>
  <c r="K121" i="2"/>
  <c r="O154" i="2"/>
  <c r="K22" i="2"/>
  <c r="P132" i="2"/>
  <c r="J77" i="2"/>
  <c r="M77" i="2"/>
  <c r="O231" i="2"/>
  <c r="K231" i="2"/>
  <c r="K33" i="2"/>
  <c r="N121" i="2"/>
  <c r="P66" i="2"/>
  <c r="P231" i="2"/>
  <c r="M231" i="2"/>
  <c r="O220" i="2"/>
  <c r="N77" i="2"/>
  <c r="K66" i="2"/>
  <c r="K154" i="2"/>
  <c r="L66" i="2"/>
  <c r="J220" i="2"/>
  <c r="M176" i="2"/>
  <c r="L187" i="2"/>
  <c r="M220" i="2"/>
  <c r="N99" i="2"/>
  <c r="O143" i="2"/>
  <c r="O121" i="2"/>
  <c r="J143" i="2"/>
  <c r="K77" i="2"/>
  <c r="K99" i="2"/>
  <c r="M99" i="2"/>
  <c r="P187" i="2"/>
  <c r="N33" i="2"/>
  <c r="N11" i="2"/>
  <c r="L33" i="2"/>
  <c r="P11" i="2"/>
  <c r="L231" i="2"/>
  <c r="O66" i="2"/>
  <c r="O22" i="2"/>
  <c r="N198" i="2"/>
  <c r="M165" i="2"/>
  <c r="J198" i="2"/>
  <c r="P176" i="2"/>
  <c r="J22" i="2"/>
  <c r="O99" i="2"/>
  <c r="K165" i="2"/>
  <c r="L209" i="2"/>
  <c r="L77" i="2"/>
  <c r="J165" i="2"/>
  <c r="M110" i="2"/>
  <c r="N66" i="2"/>
  <c r="J33" i="2"/>
  <c r="L44" i="2"/>
  <c r="M132" i="2"/>
  <c r="M33" i="2"/>
  <c r="J187" i="2"/>
  <c r="L220" i="2"/>
  <c r="J66" i="2"/>
  <c r="K44" i="2"/>
  <c r="J176" i="2"/>
  <c r="P22" i="2"/>
  <c r="P110" i="2"/>
  <c r="N110" i="2"/>
  <c r="M198" i="2"/>
  <c r="L143" i="2"/>
  <c r="L154" i="2"/>
  <c r="K209" i="2"/>
  <c r="J110" i="2"/>
  <c r="O132" i="2"/>
  <c r="J154" i="2"/>
  <c r="O176" i="2"/>
  <c r="N88" i="2"/>
  <c r="L121" i="2"/>
  <c r="L88" i="2"/>
  <c r="N154" i="2"/>
  <c r="J132" i="2"/>
  <c r="J88" i="2"/>
  <c r="O77" i="2"/>
  <c r="P220" i="2"/>
  <c r="L11" i="2"/>
  <c r="O209" i="2"/>
  <c r="O187" i="2"/>
  <c r="O88" i="2"/>
  <c r="K11" i="2"/>
  <c r="O110" i="2"/>
  <c r="J121" i="2"/>
  <c r="N165" i="2"/>
  <c r="M88" i="2"/>
  <c r="O11" i="2"/>
  <c r="N44" i="2"/>
  <c r="K187" i="2"/>
  <c r="K176" i="2"/>
  <c r="M22" i="2"/>
  <c r="O198" i="2"/>
  <c r="M187" i="2"/>
  <c r="K132" i="2"/>
  <c r="P77" i="2"/>
  <c r="K220" i="2"/>
  <c r="J209" i="2"/>
  <c r="P198" i="2"/>
  <c r="N176" i="2"/>
  <c r="K88" i="2"/>
  <c r="O165" i="2"/>
  <c r="L22" i="2"/>
  <c r="L132" i="2"/>
  <c r="K198" i="2"/>
  <c r="O33" i="2"/>
  <c r="M143" i="2"/>
  <c r="N187" i="2"/>
  <c r="L110" i="2"/>
  <c r="O44" i="2"/>
  <c r="L165" i="2"/>
  <c r="N220" i="2"/>
  <c r="N209" i="2"/>
  <c r="M11" i="2"/>
  <c r="N22" i="2"/>
  <c r="J11" i="2"/>
  <c r="M66" i="2"/>
  <c r="N231" i="2"/>
  <c r="M209" i="2"/>
  <c r="K177" i="2"/>
  <c r="Q221" i="2"/>
  <c r="M155" i="2"/>
  <c r="J45" i="2"/>
  <c r="P12" i="2"/>
  <c r="M188" i="2"/>
  <c r="M221" i="2"/>
  <c r="M67" i="2"/>
  <c r="Q12" i="2"/>
  <c r="O166" i="2"/>
  <c r="J155" i="2"/>
  <c r="J89" i="2"/>
  <c r="O122" i="2"/>
  <c r="L45" i="2"/>
  <c r="Q232" i="2"/>
  <c r="O100" i="2"/>
  <c r="N78" i="2"/>
  <c r="M12" i="2"/>
  <c r="L34" i="2"/>
  <c r="O133" i="2"/>
  <c r="O23" i="2"/>
  <c r="O144" i="2"/>
  <c r="K67" i="2"/>
  <c r="J210" i="2"/>
  <c r="J232" i="2"/>
  <c r="P111" i="2"/>
  <c r="Q210" i="2"/>
  <c r="O210" i="2"/>
  <c r="M122" i="2"/>
  <c r="Q133" i="2"/>
  <c r="L188" i="2"/>
  <c r="O221" i="2"/>
  <c r="Q177" i="2"/>
  <c r="K133" i="2"/>
  <c r="L232" i="2"/>
  <c r="K166" i="2"/>
  <c r="P78" i="2"/>
  <c r="K221" i="2"/>
  <c r="L100" i="2"/>
  <c r="K122" i="2"/>
  <c r="L177" i="2"/>
  <c r="J23" i="2"/>
  <c r="O89" i="2"/>
  <c r="N34" i="2"/>
  <c r="K111" i="2"/>
  <c r="N210" i="2"/>
  <c r="Q34" i="2"/>
  <c r="L166" i="2"/>
  <c r="O177" i="2"/>
  <c r="K12" i="2"/>
  <c r="P155" i="2"/>
  <c r="L23" i="2"/>
  <c r="J177" i="2"/>
  <c r="N23" i="2"/>
  <c r="N221" i="2"/>
  <c r="N199" i="2"/>
  <c r="P199" i="2"/>
  <c r="J78" i="2"/>
  <c r="L111" i="2"/>
  <c r="N188" i="2"/>
  <c r="K23" i="2"/>
  <c r="M78" i="2"/>
  <c r="J100" i="2"/>
  <c r="O34" i="2"/>
  <c r="P188" i="2"/>
  <c r="K45" i="2"/>
  <c r="P210" i="2"/>
  <c r="K34" i="2"/>
  <c r="K89" i="2"/>
  <c r="M100" i="2"/>
  <c r="O45" i="2"/>
  <c r="K78" i="2"/>
  <c r="L122" i="2"/>
  <c r="M199" i="2"/>
  <c r="P133" i="2"/>
  <c r="N111" i="2"/>
  <c r="P221" i="2"/>
  <c r="O67" i="2"/>
  <c r="M111" i="2"/>
  <c r="M144" i="2"/>
  <c r="M34" i="2"/>
  <c r="O78" i="2"/>
  <c r="P23" i="2"/>
  <c r="N12" i="2"/>
  <c r="M232" i="2"/>
  <c r="P232" i="2"/>
  <c r="N133" i="2"/>
  <c r="P166" i="2"/>
  <c r="L89" i="2"/>
  <c r="M166" i="2"/>
  <c r="N122" i="2"/>
  <c r="K144" i="2"/>
  <c r="N89" i="2"/>
  <c r="J166" i="2"/>
  <c r="J122" i="2"/>
  <c r="M210" i="2"/>
  <c r="P177" i="2"/>
  <c r="Q23" i="2"/>
  <c r="J34" i="2"/>
  <c r="L133" i="2"/>
  <c r="Q89" i="2"/>
  <c r="N144" i="2"/>
  <c r="J221" i="2"/>
  <c r="Q166" i="2"/>
  <c r="Q122" i="2"/>
  <c r="K199" i="2"/>
  <c r="M177" i="2"/>
  <c r="N100" i="2"/>
  <c r="P34" i="2"/>
  <c r="K155" i="2"/>
  <c r="O232" i="2"/>
  <c r="M89" i="2"/>
  <c r="O111" i="2"/>
  <c r="O12" i="2"/>
  <c r="P67" i="2"/>
  <c r="L67" i="2"/>
  <c r="J111" i="2"/>
  <c r="N155" i="2"/>
  <c r="L210" i="2"/>
  <c r="M133" i="2"/>
  <c r="N67" i="2"/>
  <c r="P144" i="2"/>
  <c r="Q111" i="2"/>
  <c r="L199" i="2"/>
  <c r="P122" i="2"/>
  <c r="L78" i="2"/>
  <c r="M45" i="2"/>
  <c r="K100" i="2"/>
  <c r="L155" i="2"/>
  <c r="O155" i="2"/>
  <c r="O199" i="2"/>
  <c r="Q78" i="2"/>
  <c r="Q45" i="2"/>
  <c r="O188" i="2"/>
  <c r="J67" i="2"/>
  <c r="J133" i="2"/>
  <c r="K188" i="2"/>
  <c r="L12" i="2"/>
  <c r="J12" i="2"/>
  <c r="N45" i="2"/>
  <c r="K232" i="2"/>
  <c r="N232" i="2"/>
  <c r="Q199" i="2"/>
  <c r="N166" i="2"/>
  <c r="Q67" i="2"/>
  <c r="L221" i="2"/>
  <c r="P89" i="2"/>
  <c r="K210" i="2"/>
  <c r="L144" i="2"/>
  <c r="P100" i="2"/>
  <c r="J199" i="2"/>
  <c r="N177" i="2"/>
  <c r="J144" i="2"/>
  <c r="M23" i="2"/>
  <c r="J188" i="2"/>
  <c r="P45" i="2"/>
  <c r="N112" i="2"/>
  <c r="O167" i="2"/>
  <c r="Q35" i="2"/>
  <c r="L24" i="2"/>
  <c r="J101" i="2"/>
  <c r="Q222" i="2"/>
  <c r="J79" i="2"/>
  <c r="P134" i="2"/>
  <c r="J178" i="2"/>
  <c r="P123" i="2"/>
  <c r="Q156" i="2"/>
  <c r="J24" i="2"/>
  <c r="P189" i="2"/>
  <c r="K101" i="2"/>
  <c r="Q46" i="2"/>
  <c r="K233" i="2"/>
  <c r="M233" i="2"/>
  <c r="J134" i="2"/>
  <c r="Q123" i="2"/>
  <c r="K123" i="2"/>
  <c r="N178" i="2"/>
  <c r="L13" i="2"/>
  <c r="K145" i="2"/>
  <c r="L233" i="2"/>
  <c r="O178" i="2"/>
  <c r="P46" i="2"/>
  <c r="K46" i="2"/>
  <c r="R101" i="2"/>
  <c r="M167" i="2"/>
  <c r="N167" i="2"/>
  <c r="O123" i="2"/>
  <c r="K35" i="2"/>
  <c r="P90" i="2"/>
  <c r="K112" i="2"/>
  <c r="P24" i="2"/>
  <c r="J189" i="2"/>
  <c r="P211" i="2"/>
  <c r="M222" i="2"/>
  <c r="M134" i="2"/>
  <c r="M200" i="2"/>
  <c r="J222" i="2"/>
  <c r="M35" i="2"/>
  <c r="M13" i="2"/>
  <c r="J233" i="2"/>
  <c r="N35" i="2"/>
  <c r="Q178" i="2"/>
  <c r="N156" i="2"/>
  <c r="P68" i="2"/>
  <c r="Q134" i="2"/>
  <c r="K134" i="2"/>
  <c r="O68" i="2"/>
  <c r="L35" i="2"/>
  <c r="L156" i="2"/>
  <c r="O46" i="2"/>
  <c r="M68" i="2"/>
  <c r="K156" i="2"/>
  <c r="M145" i="2"/>
  <c r="P13" i="2"/>
  <c r="L68" i="2"/>
  <c r="O79" i="2"/>
  <c r="J13" i="2"/>
  <c r="P233" i="2"/>
  <c r="J211" i="2"/>
  <c r="N24" i="2"/>
  <c r="J112" i="2"/>
  <c r="K211" i="2"/>
  <c r="L178" i="2"/>
  <c r="M24" i="2"/>
  <c r="O134" i="2"/>
  <c r="Q24" i="2"/>
  <c r="K79" i="2"/>
  <c r="O101" i="2"/>
  <c r="J35" i="2"/>
  <c r="K167" i="2"/>
  <c r="P145" i="2"/>
  <c r="O13" i="2"/>
  <c r="N101" i="2"/>
  <c r="R35" i="2"/>
  <c r="M123" i="2"/>
  <c r="L211" i="2"/>
  <c r="M46" i="2"/>
  <c r="Q211" i="2"/>
  <c r="L145" i="2"/>
  <c r="Q79" i="2"/>
  <c r="P200" i="2"/>
  <c r="M178" i="2"/>
  <c r="O222" i="2"/>
  <c r="Q167" i="2"/>
  <c r="R178" i="2"/>
  <c r="M79" i="2"/>
  <c r="Q233" i="2"/>
  <c r="N145" i="2"/>
  <c r="K178" i="2"/>
  <c r="O24" i="2"/>
  <c r="M156" i="2"/>
  <c r="M112" i="2"/>
  <c r="N79" i="2"/>
  <c r="L222" i="2"/>
  <c r="L134" i="2"/>
  <c r="K13" i="2"/>
  <c r="N222" i="2"/>
  <c r="O189" i="2"/>
  <c r="M189" i="2"/>
  <c r="J156" i="2"/>
  <c r="Q145" i="2"/>
  <c r="P112" i="2"/>
  <c r="P167" i="2"/>
  <c r="Q200" i="2"/>
  <c r="O112" i="2"/>
  <c r="Q13" i="2"/>
  <c r="N13" i="2"/>
  <c r="N123" i="2"/>
  <c r="L189" i="2"/>
  <c r="O156" i="2"/>
  <c r="Q189" i="2"/>
  <c r="O145" i="2"/>
  <c r="R24" i="2"/>
  <c r="J123" i="2"/>
  <c r="N233" i="2"/>
  <c r="P178" i="2"/>
  <c r="N68" i="2"/>
  <c r="O233" i="2"/>
  <c r="P79" i="2"/>
  <c r="P156" i="2"/>
  <c r="N90" i="2"/>
  <c r="Q112" i="2"/>
  <c r="K68" i="2"/>
  <c r="O211" i="2"/>
  <c r="N134" i="2"/>
  <c r="L101" i="2"/>
  <c r="P222" i="2"/>
  <c r="K189" i="2"/>
  <c r="Q68" i="2"/>
  <c r="Q101" i="2"/>
  <c r="J167" i="2"/>
  <c r="K200" i="2"/>
  <c r="P35" i="2"/>
  <c r="K24" i="2"/>
  <c r="O35" i="2"/>
  <c r="L90" i="2"/>
  <c r="L167" i="2"/>
  <c r="L200" i="2"/>
  <c r="N46" i="2"/>
  <c r="R167" i="2"/>
  <c r="R46" i="2"/>
  <c r="K222" i="2"/>
  <c r="J90" i="2"/>
  <c r="O90" i="2"/>
  <c r="J200" i="2"/>
  <c r="M101" i="2"/>
  <c r="L112" i="2"/>
  <c r="J68" i="2"/>
  <c r="M90" i="2"/>
  <c r="K90" i="2"/>
  <c r="M211" i="2"/>
  <c r="L46" i="2"/>
  <c r="O200" i="2"/>
  <c r="J145" i="2"/>
  <c r="P101" i="2"/>
  <c r="N200" i="2"/>
  <c r="L79" i="2"/>
  <c r="J46" i="2"/>
  <c r="Q90" i="2"/>
  <c r="N211" i="2"/>
  <c r="N189" i="2"/>
  <c r="L123" i="2"/>
  <c r="Q47" i="2"/>
  <c r="Q146" i="2"/>
  <c r="R124" i="2"/>
  <c r="N124" i="2"/>
  <c r="O190" i="2"/>
  <c r="M102" i="2"/>
  <c r="Q91" i="2"/>
  <c r="P14" i="2"/>
  <c r="R69" i="2"/>
  <c r="N14" i="2"/>
  <c r="R179" i="2"/>
  <c r="P124" i="2"/>
  <c r="O113" i="2"/>
  <c r="P36" i="2"/>
  <c r="P234" i="2"/>
  <c r="O223" i="2"/>
  <c r="N190" i="2"/>
  <c r="M69" i="2"/>
  <c r="M124" i="2"/>
  <c r="R168" i="2"/>
  <c r="P91" i="2"/>
  <c r="R212" i="2"/>
  <c r="Q36" i="2"/>
  <c r="P47" i="2"/>
  <c r="O168" i="2"/>
  <c r="R146" i="2"/>
  <c r="R36" i="2"/>
  <c r="O47" i="2"/>
  <c r="N146" i="2"/>
  <c r="L223" i="2"/>
  <c r="R234" i="2"/>
  <c r="K124" i="2"/>
  <c r="R80" i="2"/>
  <c r="R201" i="2"/>
  <c r="N69" i="2"/>
  <c r="R25" i="2"/>
  <c r="R47" i="2"/>
  <c r="N234" i="2"/>
  <c r="N47" i="2"/>
  <c r="P69" i="2"/>
  <c r="K47" i="2"/>
  <c r="P179" i="2"/>
  <c r="R190" i="2"/>
  <c r="M25" i="2"/>
  <c r="P201" i="2"/>
  <c r="L14" i="2"/>
  <c r="O124" i="2"/>
  <c r="O69" i="2"/>
  <c r="M179" i="2"/>
  <c r="M91" i="2"/>
  <c r="N91" i="2"/>
  <c r="N223" i="2"/>
  <c r="P190" i="2"/>
  <c r="K146" i="2"/>
  <c r="Q212" i="2"/>
  <c r="K179" i="2"/>
  <c r="R91" i="2"/>
  <c r="L25" i="2"/>
  <c r="K190" i="2"/>
  <c r="N102" i="2"/>
  <c r="Q80" i="2"/>
  <c r="R223" i="2"/>
  <c r="O91" i="2"/>
  <c r="N201" i="2"/>
  <c r="N113" i="2"/>
  <c r="M80" i="2"/>
  <c r="R14" i="2"/>
  <c r="N168" i="2"/>
  <c r="O157" i="2"/>
  <c r="K135" i="2"/>
  <c r="R157" i="2"/>
  <c r="K168" i="2"/>
  <c r="M36" i="2"/>
  <c r="L234" i="2"/>
  <c r="Q14" i="2"/>
  <c r="P157" i="2"/>
  <c r="L190" i="2"/>
  <c r="P113" i="2"/>
  <c r="R113" i="2"/>
  <c r="M190" i="2"/>
  <c r="O102" i="2"/>
  <c r="P102" i="2"/>
  <c r="L146" i="2"/>
  <c r="O201" i="2"/>
  <c r="M14" i="2"/>
  <c r="L124" i="2"/>
  <c r="L212" i="2"/>
  <c r="M201" i="2"/>
  <c r="L113" i="2"/>
  <c r="Q190" i="2"/>
  <c r="O135" i="2"/>
  <c r="N179" i="2"/>
  <c r="Q157" i="2"/>
  <c r="Q69" i="2"/>
  <c r="L179" i="2"/>
  <c r="N36" i="2"/>
  <c r="O80" i="2"/>
  <c r="P212" i="2"/>
  <c r="Q234" i="2"/>
  <c r="K234" i="2"/>
  <c r="M135" i="2"/>
  <c r="Q201" i="2"/>
  <c r="N80" i="2"/>
  <c r="L80" i="2"/>
  <c r="L102" i="2"/>
  <c r="K69" i="2"/>
  <c r="M113" i="2"/>
  <c r="K113" i="2"/>
  <c r="K91" i="2"/>
  <c r="P80" i="2"/>
  <c r="Q179" i="2"/>
  <c r="N157" i="2"/>
  <c r="K36" i="2"/>
  <c r="Q168" i="2"/>
  <c r="L36" i="2"/>
  <c r="K157" i="2"/>
  <c r="L69" i="2"/>
  <c r="M168" i="2"/>
  <c r="Q135" i="2"/>
  <c r="O146" i="2"/>
  <c r="O14" i="2"/>
  <c r="O179" i="2"/>
  <c r="P135" i="2"/>
  <c r="L47" i="2"/>
  <c r="K80" i="2"/>
  <c r="O25" i="2"/>
  <c r="R135" i="2"/>
  <c r="L201" i="2"/>
  <c r="P25" i="2"/>
  <c r="M157" i="2"/>
  <c r="Q102" i="2"/>
  <c r="K201" i="2"/>
  <c r="N135" i="2"/>
  <c r="K223" i="2"/>
  <c r="M223" i="2"/>
  <c r="N212" i="2"/>
  <c r="K102" i="2"/>
  <c r="L157" i="2"/>
  <c r="L91" i="2"/>
  <c r="O234" i="2"/>
  <c r="R102" i="2"/>
  <c r="L135" i="2"/>
  <c r="P223" i="2"/>
  <c r="K25" i="2"/>
  <c r="M212" i="2"/>
  <c r="Q113" i="2"/>
  <c r="Q223" i="2"/>
  <c r="O36" i="2"/>
  <c r="Q124" i="2"/>
  <c r="K14" i="2"/>
  <c r="K212" i="2"/>
  <c r="P146" i="2"/>
  <c r="Q25" i="2"/>
  <c r="M234" i="2"/>
  <c r="M47" i="2"/>
  <c r="M146" i="2"/>
  <c r="O212" i="2"/>
  <c r="N25" i="2"/>
  <c r="L168" i="2"/>
  <c r="P168" i="2"/>
  <c r="N191" i="2"/>
  <c r="M147" i="2"/>
  <c r="R235" i="2"/>
  <c r="L202" i="2"/>
  <c r="O235" i="2"/>
  <c r="O213" i="2"/>
  <c r="Q169" i="2"/>
  <c r="L180" i="2"/>
  <c r="O158" i="2"/>
  <c r="N37" i="2"/>
  <c r="M169" i="2"/>
  <c r="O147" i="2"/>
  <c r="R202" i="2"/>
  <c r="P180" i="2"/>
  <c r="Q180" i="2"/>
  <c r="O224" i="2"/>
  <c r="P191" i="2"/>
  <c r="R26" i="2"/>
  <c r="Q125" i="2"/>
  <c r="Q224" i="2"/>
  <c r="L26" i="2"/>
  <c r="M114" i="2"/>
  <c r="P147" i="2"/>
  <c r="R180" i="2"/>
  <c r="P103" i="2"/>
  <c r="N158" i="2"/>
  <c r="R114" i="2"/>
  <c r="O169" i="2"/>
  <c r="L15" i="2"/>
  <c r="R158" i="2"/>
  <c r="Q202" i="2"/>
  <c r="P224" i="2"/>
  <c r="Q136" i="2"/>
  <c r="P169" i="2"/>
  <c r="L92" i="2"/>
  <c r="P136" i="2"/>
  <c r="M70" i="2"/>
  <c r="Q26" i="2"/>
  <c r="Q147" i="2"/>
  <c r="P81" i="2"/>
  <c r="L103" i="2"/>
  <c r="O15" i="2"/>
  <c r="O125" i="2"/>
  <c r="O114" i="2"/>
  <c r="N103" i="2"/>
  <c r="M37" i="2"/>
  <c r="R169" i="2"/>
  <c r="L191" i="2"/>
  <c r="P235" i="2"/>
  <c r="N48" i="2"/>
  <c r="R136" i="2"/>
  <c r="Q70" i="2"/>
  <c r="N81" i="2"/>
  <c r="O81" i="2"/>
  <c r="P125" i="2"/>
  <c r="P48" i="2"/>
  <c r="R213" i="2"/>
  <c r="O70" i="2"/>
  <c r="Q213" i="2"/>
  <c r="O103" i="2"/>
  <c r="M202" i="2"/>
  <c r="M26" i="2"/>
  <c r="N235" i="2"/>
  <c r="M15" i="2"/>
  <c r="O191" i="2"/>
  <c r="N136" i="2"/>
  <c r="Q103" i="2"/>
  <c r="M48" i="2"/>
  <c r="L37" i="2"/>
  <c r="L213" i="2"/>
  <c r="L114" i="2"/>
  <c r="O180" i="2"/>
  <c r="N180" i="2"/>
  <c r="R81" i="2"/>
  <c r="N213" i="2"/>
  <c r="R224" i="2"/>
  <c r="N70" i="2"/>
  <c r="M224" i="2"/>
  <c r="Q15" i="2"/>
  <c r="M125" i="2"/>
  <c r="R15" i="2"/>
  <c r="Q92" i="2"/>
  <c r="Q37" i="2"/>
  <c r="N114" i="2"/>
  <c r="R147" i="2"/>
  <c r="M92" i="2"/>
  <c r="M158" i="2"/>
  <c r="P70" i="2"/>
  <c r="Q191" i="2"/>
  <c r="P158" i="2"/>
  <c r="P15" i="2"/>
  <c r="L224" i="2"/>
  <c r="L70" i="2"/>
  <c r="L125" i="2"/>
  <c r="R37" i="2"/>
  <c r="R92" i="2"/>
  <c r="M235" i="2"/>
  <c r="Q81" i="2"/>
  <c r="P37" i="2"/>
  <c r="N169" i="2"/>
  <c r="L136" i="2"/>
  <c r="L169" i="2"/>
  <c r="N125" i="2"/>
  <c r="Q48" i="2"/>
  <c r="M81" i="2"/>
  <c r="O48" i="2"/>
  <c r="N92" i="2"/>
  <c r="O37" i="2"/>
  <c r="P114" i="2"/>
  <c r="P213" i="2"/>
  <c r="N15" i="2"/>
  <c r="L147" i="2"/>
  <c r="L48" i="2"/>
  <c r="Q158" i="2"/>
  <c r="M103" i="2"/>
  <c r="L158" i="2"/>
  <c r="Q114" i="2"/>
  <c r="N26" i="2"/>
  <c r="Q235" i="2"/>
  <c r="R48" i="2"/>
  <c r="R191" i="2"/>
  <c r="P202" i="2"/>
  <c r="P92" i="2"/>
  <c r="P26" i="2"/>
  <c r="R70" i="2"/>
  <c r="L81" i="2"/>
  <c r="O92" i="2"/>
  <c r="R103" i="2"/>
  <c r="N224" i="2"/>
  <c r="N147" i="2"/>
  <c r="O26" i="2"/>
  <c r="N202" i="2"/>
  <c r="L235" i="2"/>
  <c r="M180" i="2"/>
  <c r="M136" i="2"/>
  <c r="R125" i="2"/>
  <c r="M213" i="2"/>
  <c r="O136" i="2"/>
  <c r="M191" i="2"/>
  <c r="O202" i="2"/>
  <c r="P82" i="2"/>
  <c r="O181" i="2"/>
  <c r="P181" i="2"/>
  <c r="Q203" i="2"/>
  <c r="Q159" i="2"/>
  <c r="Q104" i="2"/>
  <c r="O236" i="2"/>
  <c r="O93" i="2"/>
  <c r="N137" i="2"/>
  <c r="R203" i="2"/>
  <c r="N192" i="2"/>
  <c r="N38" i="2"/>
  <c r="M236" i="2"/>
  <c r="N82" i="2"/>
  <c r="R159" i="2"/>
  <c r="M137" i="2"/>
  <c r="N236" i="2"/>
  <c r="R170" i="2"/>
  <c r="O16" i="2"/>
  <c r="P16" i="2"/>
  <c r="N214" i="2"/>
  <c r="R137" i="2"/>
  <c r="N27" i="2"/>
  <c r="N115" i="2"/>
  <c r="Q148" i="2"/>
  <c r="Q236" i="2"/>
  <c r="L148" i="2"/>
  <c r="P170" i="2"/>
  <c r="O225" i="2"/>
  <c r="M159" i="2"/>
  <c r="P104" i="2"/>
  <c r="N181" i="2"/>
  <c r="P71" i="2"/>
  <c r="O38" i="2"/>
  <c r="P27" i="2"/>
  <c r="M27" i="2"/>
  <c r="R236" i="2"/>
  <c r="O137" i="2"/>
  <c r="R214" i="2"/>
  <c r="O82" i="2"/>
  <c r="Q115" i="2"/>
  <c r="P159" i="2"/>
  <c r="N159" i="2"/>
  <c r="N148" i="2"/>
  <c r="R126" i="2"/>
  <c r="O71" i="2"/>
  <c r="P137" i="2"/>
  <c r="P192" i="2"/>
  <c r="O115" i="2"/>
  <c r="P214" i="2"/>
  <c r="Q27" i="2"/>
  <c r="P225" i="2"/>
  <c r="Q38" i="2"/>
  <c r="P49" i="2"/>
  <c r="R181" i="2"/>
  <c r="Q93" i="2"/>
  <c r="P115" i="2"/>
  <c r="R104" i="2"/>
  <c r="Q126" i="2"/>
  <c r="N16" i="2"/>
  <c r="R225" i="2"/>
  <c r="R115" i="2"/>
  <c r="P236" i="2"/>
  <c r="O203" i="2"/>
  <c r="N126" i="2"/>
  <c r="R16" i="2"/>
  <c r="O159" i="2"/>
  <c r="R49" i="2"/>
  <c r="O214" i="2"/>
  <c r="M115" i="2"/>
  <c r="M225" i="2"/>
  <c r="Q214" i="2"/>
  <c r="P126" i="2"/>
  <c r="O148" i="2"/>
  <c r="M93" i="2"/>
  <c r="P38" i="2"/>
  <c r="Q49" i="2"/>
  <c r="M170" i="2"/>
  <c r="R82" i="2"/>
  <c r="R148" i="2"/>
  <c r="R93" i="2"/>
  <c r="M38" i="2"/>
  <c r="L49" i="2"/>
  <c r="R27" i="2"/>
  <c r="Q181" i="2"/>
  <c r="N93" i="2"/>
  <c r="O104" i="2"/>
  <c r="Q170" i="2"/>
  <c r="R71" i="2"/>
  <c r="P93" i="2"/>
  <c r="N203" i="2"/>
  <c r="N49" i="2"/>
  <c r="P203" i="2"/>
  <c r="M181" i="2"/>
  <c r="N170" i="2"/>
  <c r="O49" i="2"/>
  <c r="O27" i="2"/>
  <c r="M214" i="2"/>
  <c r="Q137" i="2"/>
  <c r="N225" i="2"/>
  <c r="M203" i="2"/>
  <c r="M126" i="2"/>
  <c r="Q71" i="2"/>
  <c r="O170" i="2"/>
  <c r="Q192" i="2"/>
  <c r="R192" i="2"/>
  <c r="N104" i="2"/>
  <c r="M192" i="2"/>
  <c r="R38" i="2"/>
  <c r="N71" i="2"/>
  <c r="O192" i="2"/>
  <c r="M82" i="2"/>
  <c r="Q225" i="2"/>
  <c r="P148" i="2"/>
  <c r="Q16" i="2"/>
  <c r="O126" i="2"/>
  <c r="M49" i="2"/>
  <c r="M71" i="2"/>
  <c r="M16" i="2"/>
  <c r="M104" i="2"/>
  <c r="Q82" i="2"/>
  <c r="M148" i="2"/>
  <c r="R72" i="2"/>
  <c r="Q17" i="2"/>
  <c r="O72" i="2"/>
  <c r="N28" i="2"/>
  <c r="N204" i="2"/>
  <c r="O94" i="2"/>
  <c r="Q83" i="2"/>
  <c r="O50" i="2"/>
  <c r="M127" i="2"/>
  <c r="R105" i="2"/>
  <c r="N50" i="2"/>
  <c r="N105" i="2"/>
  <c r="P94" i="2"/>
  <c r="R160" i="2"/>
  <c r="R138" i="2"/>
  <c r="O105" i="2"/>
  <c r="R39" i="2"/>
  <c r="R17" i="2"/>
  <c r="Q160" i="2"/>
  <c r="Q94" i="2"/>
  <c r="R171" i="2"/>
  <c r="O28" i="2"/>
  <c r="N138" i="2"/>
  <c r="O215" i="2"/>
  <c r="N149" i="2"/>
  <c r="Q171" i="2"/>
  <c r="O116" i="2"/>
  <c r="Q204" i="2"/>
  <c r="Q215" i="2"/>
  <c r="O138" i="2"/>
  <c r="M193" i="2"/>
  <c r="N127" i="2"/>
  <c r="P116" i="2"/>
  <c r="N193" i="2"/>
  <c r="Q193" i="2"/>
  <c r="Q39" i="2"/>
  <c r="O204" i="2"/>
  <c r="Q149" i="2"/>
  <c r="O226" i="2"/>
  <c r="N215" i="2"/>
  <c r="P193" i="2"/>
  <c r="Q226" i="2"/>
  <c r="P226" i="2"/>
  <c r="R226" i="2"/>
  <c r="P83" i="2"/>
  <c r="R149" i="2"/>
  <c r="R127" i="2"/>
  <c r="P50" i="2"/>
  <c r="P28" i="2"/>
  <c r="O149" i="2"/>
  <c r="Q127" i="2"/>
  <c r="P127" i="2"/>
  <c r="P149" i="2"/>
  <c r="O160" i="2"/>
  <c r="O182" i="2"/>
  <c r="O83" i="2"/>
  <c r="N72" i="2"/>
  <c r="P160" i="2"/>
  <c r="R116" i="2"/>
  <c r="P138" i="2"/>
  <c r="N39" i="2"/>
  <c r="Q105" i="2"/>
  <c r="Q237" i="2"/>
  <c r="Q72" i="2"/>
  <c r="P17" i="2"/>
  <c r="R193" i="2"/>
  <c r="P237" i="2"/>
  <c r="N171" i="2"/>
  <c r="N182" i="2"/>
  <c r="N17" i="2"/>
  <c r="P171" i="2"/>
  <c r="P105" i="2"/>
  <c r="R83" i="2"/>
  <c r="O127" i="2"/>
  <c r="M17" i="2"/>
  <c r="R94" i="2"/>
  <c r="R28" i="2"/>
  <c r="Q138" i="2"/>
  <c r="Q116" i="2"/>
  <c r="P215" i="2"/>
  <c r="P182" i="2"/>
  <c r="O17" i="2"/>
  <c r="Q28" i="2"/>
  <c r="N83" i="2"/>
  <c r="P39" i="2"/>
  <c r="Q182" i="2"/>
  <c r="R204" i="2"/>
  <c r="P204" i="2"/>
  <c r="N237" i="2"/>
  <c r="P72" i="2"/>
  <c r="R215" i="2"/>
  <c r="R50" i="2"/>
  <c r="O171" i="2"/>
  <c r="O237" i="2"/>
  <c r="N94" i="2"/>
  <c r="N116" i="2"/>
  <c r="O193" i="2"/>
  <c r="Q50" i="2"/>
  <c r="N226" i="2"/>
  <c r="O39" i="2"/>
  <c r="N160" i="2"/>
  <c r="R237" i="2"/>
  <c r="R182" i="2"/>
  <c r="R95" i="2"/>
  <c r="O161" i="2"/>
  <c r="P139" i="2"/>
  <c r="O183" i="2"/>
  <c r="O29" i="2"/>
  <c r="P18" i="2"/>
  <c r="O150" i="2"/>
  <c r="Q117" i="2"/>
  <c r="R18" i="2"/>
  <c r="O128" i="2"/>
  <c r="R40" i="2"/>
  <c r="P161" i="2"/>
  <c r="R51" i="2"/>
  <c r="O238" i="2"/>
  <c r="Q18" i="2"/>
  <c r="Q139" i="2"/>
  <c r="P117" i="2"/>
  <c r="R117" i="2"/>
  <c r="P205" i="2"/>
  <c r="O216" i="2"/>
  <c r="P95" i="2"/>
  <c r="Q51" i="2"/>
  <c r="P150" i="2"/>
  <c r="O271" i="2"/>
  <c r="R227" i="2"/>
  <c r="O40" i="2"/>
  <c r="R172" i="2"/>
  <c r="P172" i="2"/>
  <c r="O73" i="2"/>
  <c r="Q128" i="2"/>
  <c r="O117" i="2"/>
  <c r="R128" i="2"/>
  <c r="O194" i="2"/>
  <c r="Q29" i="2"/>
  <c r="P29" i="2"/>
  <c r="O227" i="2"/>
  <c r="O18" i="2"/>
  <c r="Q106" i="2"/>
  <c r="R29" i="2"/>
  <c r="P194" i="2"/>
  <c r="O106" i="2"/>
  <c r="R238" i="2"/>
  <c r="P128" i="2"/>
  <c r="R84" i="2"/>
  <c r="Q238" i="2"/>
  <c r="Q205" i="2"/>
  <c r="Q150" i="2"/>
  <c r="O172" i="2"/>
  <c r="O84" i="2"/>
  <c r="R139" i="2"/>
  <c r="Q194" i="2"/>
  <c r="R150" i="2"/>
  <c r="R216" i="2"/>
  <c r="Q216" i="2"/>
  <c r="P227" i="2"/>
  <c r="R73" i="2"/>
  <c r="R194" i="2"/>
  <c r="P238" i="2"/>
  <c r="Q95" i="2"/>
  <c r="O95" i="2"/>
  <c r="R205" i="2"/>
  <c r="Q183" i="2"/>
  <c r="P73" i="2"/>
  <c r="P40" i="2"/>
  <c r="Q73" i="2"/>
  <c r="P216" i="2"/>
  <c r="Q227" i="2"/>
  <c r="O205" i="2"/>
  <c r="O139" i="2"/>
  <c r="R106" i="2"/>
  <c r="Q172" i="2"/>
  <c r="P183" i="2"/>
  <c r="P51" i="2"/>
  <c r="Q161" i="2"/>
  <c r="R161" i="2"/>
  <c r="R183" i="2"/>
  <c r="O51" i="2"/>
  <c r="Q84" i="2"/>
  <c r="Q40" i="2"/>
  <c r="P106" i="2"/>
  <c r="P84" i="2"/>
  <c r="R21" i="2"/>
  <c r="R197" i="2"/>
  <c r="Q142" i="2"/>
  <c r="Q109" i="2"/>
  <c r="R87" i="2"/>
  <c r="R164" i="2"/>
  <c r="R109" i="2"/>
  <c r="R175" i="2"/>
  <c r="Q21" i="2"/>
  <c r="R208" i="2"/>
  <c r="R32" i="2"/>
  <c r="O230" i="2"/>
  <c r="P208" i="2"/>
  <c r="R186" i="2"/>
  <c r="Q76" i="2"/>
  <c r="P164" i="2"/>
  <c r="Q87" i="2"/>
  <c r="P175" i="2"/>
  <c r="R142" i="2"/>
  <c r="P153" i="2"/>
  <c r="Q219" i="2"/>
  <c r="P76" i="2"/>
  <c r="Q131" i="2"/>
  <c r="Q43" i="2"/>
  <c r="R230" i="2"/>
  <c r="O120" i="2"/>
  <c r="P43" i="2"/>
  <c r="Q10" i="2"/>
  <c r="Q208" i="2"/>
  <c r="R76" i="2"/>
  <c r="Q186" i="2"/>
  <c r="O109" i="2"/>
  <c r="P186" i="2"/>
  <c r="R219" i="2"/>
  <c r="Q120" i="2"/>
  <c r="R120" i="2"/>
  <c r="Q197" i="2"/>
  <c r="Q32" i="2"/>
  <c r="P219" i="2"/>
  <c r="R153" i="2"/>
  <c r="O153" i="2"/>
  <c r="P10" i="2"/>
  <c r="Q230" i="2"/>
  <c r="Q153" i="2"/>
  <c r="R10" i="2"/>
  <c r="R131" i="2"/>
  <c r="P230" i="2"/>
  <c r="O43" i="2"/>
  <c r="P120" i="2"/>
  <c r="P98" i="2"/>
  <c r="P131" i="2"/>
  <c r="R98" i="2"/>
  <c r="P197" i="2"/>
  <c r="P87" i="2"/>
  <c r="R65" i="2"/>
  <c r="P21" i="2"/>
  <c r="Q175" i="2"/>
  <c r="P109" i="2"/>
  <c r="Q65" i="2"/>
  <c r="P65" i="2"/>
  <c r="R43" i="2"/>
  <c r="P32" i="2"/>
  <c r="Q164" i="2"/>
  <c r="P142" i="2"/>
  <c r="Q98" i="2"/>
  <c r="P121" i="2"/>
  <c r="Q143" i="2"/>
  <c r="Q154" i="2"/>
  <c r="R66" i="2"/>
  <c r="S66" i="2" s="1"/>
  <c r="R198" i="2"/>
  <c r="S198" i="2" s="1"/>
  <c r="Q33" i="2"/>
  <c r="R88" i="2"/>
  <c r="S88" i="2" s="1"/>
  <c r="Q176" i="2"/>
  <c r="R154" i="2"/>
  <c r="S154" i="2" s="1"/>
  <c r="P209" i="2"/>
  <c r="Q66" i="2"/>
  <c r="R165" i="2"/>
  <c r="S165" i="2" s="1"/>
  <c r="P44" i="2"/>
  <c r="Q88" i="2"/>
  <c r="Q198" i="2"/>
  <c r="Q220" i="2"/>
  <c r="R220" i="2"/>
  <c r="S220" i="2" s="1"/>
  <c r="P165" i="2"/>
  <c r="R33" i="2"/>
  <c r="S33" i="2" s="1"/>
  <c r="R121" i="2"/>
  <c r="S121" i="2" s="1"/>
  <c r="Q22" i="2"/>
  <c r="Q165" i="2"/>
  <c r="Q209" i="2"/>
  <c r="R77" i="2"/>
  <c r="S77" i="2" s="1"/>
  <c r="R44" i="2"/>
  <c r="S44" i="2" s="1"/>
  <c r="R187" i="2"/>
  <c r="S187" i="2" s="1"/>
  <c r="M286" i="2"/>
  <c r="Q121" i="2"/>
  <c r="R132" i="2"/>
  <c r="S132" i="2" s="1"/>
  <c r="R110" i="2"/>
  <c r="S110" i="2" s="1"/>
  <c r="R209" i="2"/>
  <c r="S209" i="2" s="1"/>
  <c r="R176" i="2"/>
  <c r="S176" i="2" s="1"/>
  <c r="R99" i="2"/>
  <c r="S99" i="2" s="1"/>
  <c r="R143" i="2"/>
  <c r="S143" i="2" s="1"/>
  <c r="Q187" i="2"/>
  <c r="Q77" i="2"/>
  <c r="R231" i="2"/>
  <c r="S231" i="2" s="1"/>
  <c r="Q231" i="2"/>
  <c r="P143" i="2"/>
  <c r="Q44" i="2"/>
  <c r="R11" i="2"/>
  <c r="Q99" i="2"/>
  <c r="P33" i="2"/>
  <c r="Q132" i="2"/>
  <c r="Q11" i="2"/>
  <c r="P88" i="2"/>
  <c r="R22" i="2"/>
  <c r="S22" i="2" s="1"/>
  <c r="Q110" i="2"/>
  <c r="R232" i="2"/>
  <c r="R221" i="2"/>
  <c r="R111" i="2"/>
  <c r="R67" i="2"/>
  <c r="R78" i="2"/>
  <c r="R210" i="2"/>
  <c r="R155" i="2"/>
  <c r="R34" i="2"/>
  <c r="R166" i="2"/>
  <c r="R177" i="2"/>
  <c r="R89" i="2"/>
  <c r="Q188" i="2"/>
  <c r="R23" i="2"/>
  <c r="R45" i="2"/>
  <c r="M298" i="2"/>
  <c r="R199" i="2"/>
  <c r="Q100" i="2"/>
  <c r="R100" i="2"/>
  <c r="R12" i="2"/>
  <c r="R133" i="2"/>
  <c r="Q155" i="2"/>
  <c r="R188" i="2"/>
  <c r="R122" i="2"/>
  <c r="Q144" i="2"/>
  <c r="R144" i="2"/>
  <c r="R310" i="2"/>
  <c r="R211" i="2"/>
  <c r="R68" i="2"/>
  <c r="R222" i="2"/>
  <c r="R233" i="2"/>
  <c r="R145" i="2"/>
  <c r="R123" i="2"/>
  <c r="R112" i="2"/>
  <c r="R13" i="2"/>
  <c r="R134" i="2"/>
  <c r="R79" i="2"/>
  <c r="R90" i="2"/>
  <c r="R200" i="2"/>
  <c r="R189" i="2"/>
  <c r="P333" i="2"/>
  <c r="P345" i="2"/>
  <c r="M357" i="2"/>
  <c r="M248" i="2"/>
  <c r="Q248" i="2"/>
  <c r="O369" i="2"/>
  <c r="P248" i="2"/>
  <c r="R248" i="2"/>
  <c r="J248" i="2"/>
  <c r="K248" i="2"/>
  <c r="L248" i="2"/>
  <c r="N248" i="2"/>
  <c r="O248" i="2"/>
  <c r="Q260" i="2"/>
  <c r="K249" i="2"/>
  <c r="L271" i="2"/>
  <c r="L249" i="2"/>
  <c r="J260" i="2"/>
  <c r="M260" i="2"/>
  <c r="M249" i="2"/>
  <c r="J249" i="2"/>
  <c r="P260" i="2"/>
  <c r="N249" i="2"/>
  <c r="K260" i="2"/>
  <c r="N260" i="2"/>
  <c r="R260" i="2"/>
  <c r="O249" i="2"/>
  <c r="Q249" i="2"/>
  <c r="L260" i="2"/>
  <c r="R249" i="2"/>
  <c r="O260" i="2"/>
  <c r="P249" i="2"/>
  <c r="N263" i="2"/>
  <c r="R252" i="2"/>
  <c r="N241" i="2"/>
  <c r="M252" i="2"/>
  <c r="L252" i="2"/>
  <c r="M241" i="2"/>
  <c r="K274" i="2"/>
  <c r="J384" i="2"/>
  <c r="O252" i="2"/>
  <c r="R263" i="2"/>
  <c r="P263" i="2"/>
  <c r="L263" i="2"/>
  <c r="Q274" i="2"/>
  <c r="K241" i="2"/>
  <c r="Q252" i="2"/>
  <c r="Q263" i="2"/>
  <c r="Q241" i="2"/>
  <c r="M263" i="2"/>
  <c r="J263" i="2"/>
  <c r="K263" i="2"/>
  <c r="L241" i="2"/>
  <c r="M274" i="2"/>
  <c r="R241" i="2"/>
  <c r="K252" i="2"/>
  <c r="P274" i="2"/>
  <c r="O263" i="2"/>
  <c r="J252" i="2"/>
  <c r="P252" i="2"/>
  <c r="O241" i="2"/>
  <c r="J241" i="2"/>
  <c r="P241" i="2"/>
  <c r="N252" i="2"/>
  <c r="N274" i="2"/>
  <c r="O274" i="2"/>
  <c r="K242" i="2"/>
  <c r="N242" i="2"/>
  <c r="J286" i="2"/>
  <c r="O275" i="2"/>
  <c r="N275" i="2"/>
  <c r="M253" i="2"/>
  <c r="L264" i="2"/>
  <c r="J264" i="2"/>
  <c r="P253" i="2"/>
  <c r="O286" i="2"/>
  <c r="L275" i="2"/>
  <c r="R253" i="2"/>
  <c r="S253" i="2" s="1"/>
  <c r="P286" i="2"/>
  <c r="Q275" i="2"/>
  <c r="R275" i="2"/>
  <c r="S275" i="2" s="1"/>
  <c r="R264" i="2"/>
  <c r="S264" i="2" s="1"/>
  <c r="M275" i="2"/>
  <c r="N264" i="2"/>
  <c r="L286" i="2"/>
  <c r="Q242" i="2"/>
  <c r="R286" i="2"/>
  <c r="S286" i="2" s="1"/>
  <c r="J275" i="2"/>
  <c r="O264" i="2"/>
  <c r="K264" i="2"/>
  <c r="L253" i="2"/>
  <c r="N286" i="2"/>
  <c r="R242" i="2"/>
  <c r="S242" i="2" s="1"/>
  <c r="P275" i="2"/>
  <c r="P242" i="2"/>
  <c r="J242" i="2"/>
  <c r="K286" i="2"/>
  <c r="N253" i="2"/>
  <c r="P264" i="2"/>
  <c r="O242" i="2"/>
  <c r="Q253" i="2"/>
  <c r="K253" i="2"/>
  <c r="K275" i="2"/>
  <c r="O253" i="2"/>
  <c r="R396" i="2"/>
  <c r="S396" i="2" s="1"/>
  <c r="J253" i="2"/>
  <c r="L242" i="2"/>
  <c r="Q264" i="2"/>
  <c r="M264" i="2"/>
  <c r="M242" i="2"/>
  <c r="R265" i="2"/>
  <c r="M254" i="2"/>
  <c r="J298" i="2"/>
  <c r="P254" i="2"/>
  <c r="M243" i="2"/>
  <c r="K408" i="2"/>
  <c r="P265" i="2"/>
  <c r="R287" i="2"/>
  <c r="N254" i="2"/>
  <c r="N298" i="2"/>
  <c r="N276" i="2"/>
  <c r="Q276" i="2"/>
  <c r="P243" i="2"/>
  <c r="N287" i="2"/>
  <c r="L265" i="2"/>
  <c r="Q254" i="2"/>
  <c r="Q287" i="2"/>
  <c r="R243" i="2"/>
  <c r="L287" i="2"/>
  <c r="M265" i="2"/>
  <c r="M276" i="2"/>
  <c r="J243" i="2"/>
  <c r="J276" i="2"/>
  <c r="O254" i="2"/>
  <c r="K287" i="2"/>
  <c r="J254" i="2"/>
  <c r="Q265" i="2"/>
  <c r="K254" i="2"/>
  <c r="N243" i="2"/>
  <c r="O276" i="2"/>
  <c r="M287" i="2"/>
  <c r="P298" i="2"/>
  <c r="K276" i="2"/>
  <c r="L276" i="2"/>
  <c r="K243" i="2"/>
  <c r="R254" i="2"/>
  <c r="J287" i="2"/>
  <c r="R276" i="2"/>
  <c r="J265" i="2"/>
  <c r="N265" i="2"/>
  <c r="Q243" i="2"/>
  <c r="K265" i="2"/>
  <c r="L254" i="2"/>
  <c r="O243" i="2"/>
  <c r="O265" i="2"/>
  <c r="P287" i="2"/>
  <c r="P276" i="2"/>
  <c r="L243" i="2"/>
  <c r="L298" i="2"/>
  <c r="O287" i="2"/>
  <c r="P266" i="2"/>
  <c r="Q255" i="2"/>
  <c r="M266" i="2"/>
  <c r="M277" i="2"/>
  <c r="R288" i="2"/>
  <c r="M299" i="2"/>
  <c r="K255" i="2"/>
  <c r="O277" i="2"/>
  <c r="N255" i="2"/>
  <c r="Q288" i="2"/>
  <c r="K277" i="2"/>
  <c r="J255" i="2"/>
  <c r="R244" i="2"/>
  <c r="P255" i="2"/>
  <c r="R266" i="2"/>
  <c r="L266" i="2"/>
  <c r="J288" i="2"/>
  <c r="Q266" i="2"/>
  <c r="O299" i="2"/>
  <c r="L277" i="2"/>
  <c r="N266" i="2"/>
  <c r="P244" i="2"/>
  <c r="P288" i="2"/>
  <c r="J244" i="2"/>
  <c r="Q277" i="2"/>
  <c r="L299" i="2"/>
  <c r="O288" i="2"/>
  <c r="M255" i="2"/>
  <c r="K288" i="2"/>
  <c r="N277" i="2"/>
  <c r="J277" i="2"/>
  <c r="P299" i="2"/>
  <c r="P277" i="2"/>
  <c r="L255" i="2"/>
  <c r="R255" i="2"/>
  <c r="K244" i="2"/>
  <c r="J266" i="2"/>
  <c r="R277" i="2"/>
  <c r="J310" i="2"/>
  <c r="L288" i="2"/>
  <c r="N299" i="2"/>
  <c r="Q310" i="2"/>
  <c r="O255" i="2"/>
  <c r="Q244" i="2"/>
  <c r="M288" i="2"/>
  <c r="K299" i="2"/>
  <c r="O244" i="2"/>
  <c r="R299" i="2"/>
  <c r="L244" i="2"/>
  <c r="J299" i="2"/>
  <c r="Q299" i="2"/>
  <c r="N244" i="2"/>
  <c r="O266" i="2"/>
  <c r="M244" i="2"/>
  <c r="N288" i="2"/>
  <c r="K266" i="2"/>
  <c r="O256" i="2"/>
  <c r="J289" i="2"/>
  <c r="P443" i="2"/>
  <c r="K256" i="2"/>
  <c r="M289" i="2"/>
  <c r="L278" i="2"/>
  <c r="J245" i="2"/>
  <c r="N267" i="2"/>
  <c r="O267" i="2"/>
  <c r="P278" i="2"/>
  <c r="L289" i="2"/>
  <c r="R278" i="2"/>
  <c r="Q333" i="2"/>
  <c r="O278" i="2"/>
  <c r="Q278" i="2"/>
  <c r="J300" i="2"/>
  <c r="J311" i="2"/>
  <c r="M311" i="2"/>
  <c r="R322" i="2"/>
  <c r="M300" i="2"/>
  <c r="M256" i="2"/>
  <c r="N278" i="2"/>
  <c r="P311" i="2"/>
  <c r="L322" i="2"/>
  <c r="M322" i="2"/>
  <c r="M333" i="2"/>
  <c r="N311" i="2"/>
  <c r="N322" i="2"/>
  <c r="Q289" i="2"/>
  <c r="P245" i="2"/>
  <c r="K289" i="2"/>
  <c r="R256" i="2"/>
  <c r="L300" i="2"/>
  <c r="R267" i="2"/>
  <c r="O245" i="2"/>
  <c r="O311" i="2"/>
  <c r="P267" i="2"/>
  <c r="O289" i="2"/>
  <c r="K300" i="2"/>
  <c r="L311" i="2"/>
  <c r="O300" i="2"/>
  <c r="Q245" i="2"/>
  <c r="R311" i="2"/>
  <c r="J278" i="2"/>
  <c r="K278" i="2"/>
  <c r="N333" i="2"/>
  <c r="Q322" i="2"/>
  <c r="J322" i="2"/>
  <c r="L256" i="2"/>
  <c r="R289" i="2"/>
  <c r="L267" i="2"/>
  <c r="N289" i="2"/>
  <c r="K311" i="2"/>
  <c r="R245" i="2"/>
  <c r="M278" i="2"/>
  <c r="P289" i="2"/>
  <c r="O333" i="2"/>
  <c r="N245" i="2"/>
  <c r="P300" i="2"/>
  <c r="J267" i="2"/>
  <c r="M245" i="2"/>
  <c r="K322" i="2"/>
  <c r="R300" i="2"/>
  <c r="Q267" i="2"/>
  <c r="K267" i="2"/>
  <c r="O322" i="2"/>
  <c r="M267" i="2"/>
  <c r="L245" i="2"/>
  <c r="Q256" i="2"/>
  <c r="N256" i="2"/>
  <c r="Q300" i="2"/>
  <c r="R333" i="2"/>
  <c r="P322" i="2"/>
  <c r="J256" i="2"/>
  <c r="K245" i="2"/>
  <c r="Q311" i="2"/>
  <c r="N300" i="2"/>
  <c r="P256" i="2"/>
  <c r="Q334" i="2"/>
  <c r="L312" i="2"/>
  <c r="Q290" i="2"/>
  <c r="P290" i="2"/>
  <c r="R323" i="2"/>
  <c r="P246" i="2"/>
  <c r="N290" i="2"/>
  <c r="K279" i="2"/>
  <c r="K301" i="2"/>
  <c r="J246" i="2"/>
  <c r="L323" i="2"/>
  <c r="J334" i="2"/>
  <c r="L290" i="2"/>
  <c r="N301" i="2"/>
  <c r="O268" i="2"/>
  <c r="M268" i="2"/>
  <c r="N246" i="2"/>
  <c r="J290" i="2"/>
  <c r="J312" i="2"/>
  <c r="K257" i="2"/>
  <c r="K312" i="2"/>
  <c r="J323" i="2"/>
  <c r="N279" i="2"/>
  <c r="O290" i="2"/>
  <c r="J268" i="2"/>
  <c r="M290" i="2"/>
  <c r="M246" i="2"/>
  <c r="P323" i="2"/>
  <c r="P301" i="2"/>
  <c r="N334" i="2"/>
  <c r="Q257" i="2"/>
  <c r="M312" i="2"/>
  <c r="K246" i="2"/>
  <c r="O246" i="2"/>
  <c r="M334" i="2"/>
  <c r="O345" i="2"/>
  <c r="R257" i="2"/>
  <c r="L279" i="2"/>
  <c r="J301" i="2"/>
  <c r="O257" i="2"/>
  <c r="O334" i="2"/>
  <c r="R268" i="2"/>
  <c r="Q312" i="2"/>
  <c r="K290" i="2"/>
  <c r="K334" i="2"/>
  <c r="Q323" i="2"/>
  <c r="J345" i="2"/>
  <c r="M301" i="2"/>
  <c r="J257" i="2"/>
  <c r="R279" i="2"/>
  <c r="N312" i="2"/>
  <c r="P257" i="2"/>
  <c r="O323" i="2"/>
  <c r="O312" i="2"/>
  <c r="P312" i="2"/>
  <c r="L257" i="2"/>
  <c r="L268" i="2"/>
  <c r="R290" i="2"/>
  <c r="Q279" i="2"/>
  <c r="O301" i="2"/>
  <c r="N323" i="2"/>
  <c r="R246" i="2"/>
  <c r="Q268" i="2"/>
  <c r="R301" i="2"/>
  <c r="R312" i="2"/>
  <c r="N268" i="2"/>
  <c r="O279" i="2"/>
  <c r="Q301" i="2"/>
  <c r="M279" i="2"/>
  <c r="R334" i="2"/>
  <c r="P334" i="2"/>
  <c r="P268" i="2"/>
  <c r="L301" i="2"/>
  <c r="M257" i="2"/>
  <c r="M323" i="2"/>
  <c r="K268" i="2"/>
  <c r="P279" i="2"/>
  <c r="Q246" i="2"/>
  <c r="L246" i="2"/>
  <c r="N257" i="2"/>
  <c r="J279" i="2"/>
  <c r="L334" i="2"/>
  <c r="K323" i="2"/>
  <c r="N345" i="2"/>
  <c r="N269" i="2"/>
  <c r="M247" i="2"/>
  <c r="R291" i="2"/>
  <c r="K269" i="2"/>
  <c r="L280" i="2"/>
  <c r="K258" i="2"/>
  <c r="R335" i="2"/>
  <c r="R280" i="2"/>
  <c r="L269" i="2"/>
  <c r="M269" i="2"/>
  <c r="M346" i="2"/>
  <c r="J247" i="2"/>
  <c r="J324" i="2"/>
  <c r="Q357" i="2"/>
  <c r="M302" i="2"/>
  <c r="O247" i="2"/>
  <c r="M258" i="2"/>
  <c r="N291" i="2"/>
  <c r="M313" i="2"/>
  <c r="L346" i="2"/>
  <c r="R313" i="2"/>
  <c r="N258" i="2"/>
  <c r="N313" i="2"/>
  <c r="P313" i="2"/>
  <c r="P302" i="2"/>
  <c r="O346" i="2"/>
  <c r="Q346" i="2"/>
  <c r="L357" i="2"/>
  <c r="O258" i="2"/>
  <c r="Q280" i="2"/>
  <c r="Q269" i="2"/>
  <c r="Q291" i="2"/>
  <c r="J302" i="2"/>
  <c r="J335" i="2"/>
  <c r="K302" i="2"/>
  <c r="J291" i="2"/>
  <c r="O291" i="2"/>
  <c r="L335" i="2"/>
  <c r="L247" i="2"/>
  <c r="Q258" i="2"/>
  <c r="J280" i="2"/>
  <c r="M280" i="2"/>
  <c r="R302" i="2"/>
  <c r="K335" i="2"/>
  <c r="P258" i="2"/>
  <c r="R346" i="2"/>
  <c r="R258" i="2"/>
  <c r="O357" i="2"/>
  <c r="Q247" i="2"/>
  <c r="P291" i="2"/>
  <c r="N324" i="2"/>
  <c r="N247" i="2"/>
  <c r="K247" i="2"/>
  <c r="J346" i="2"/>
  <c r="P280" i="2"/>
  <c r="P324" i="2"/>
  <c r="R269" i="2"/>
  <c r="P346" i="2"/>
  <c r="L291" i="2"/>
  <c r="P335" i="2"/>
  <c r="O313" i="2"/>
  <c r="J313" i="2"/>
  <c r="R324" i="2"/>
  <c r="P269" i="2"/>
  <c r="O302" i="2"/>
  <c r="R247" i="2"/>
  <c r="K357" i="2"/>
  <c r="J258" i="2"/>
  <c r="K313" i="2"/>
  <c r="Q313" i="2"/>
  <c r="P247" i="2"/>
  <c r="J357" i="2"/>
  <c r="M324" i="2"/>
  <c r="N280" i="2"/>
  <c r="M335" i="2"/>
  <c r="O324" i="2"/>
  <c r="N346" i="2"/>
  <c r="K346" i="2"/>
  <c r="L302" i="2"/>
  <c r="O335" i="2"/>
  <c r="O280" i="2"/>
  <c r="J269" i="2"/>
  <c r="Q335" i="2"/>
  <c r="K324" i="2"/>
  <c r="L313" i="2"/>
  <c r="L324" i="2"/>
  <c r="Q324" i="2"/>
  <c r="N302" i="2"/>
  <c r="Q302" i="2"/>
  <c r="L258" i="2"/>
  <c r="O269" i="2"/>
  <c r="N335" i="2"/>
  <c r="K280" i="2"/>
  <c r="K291" i="2"/>
  <c r="M291" i="2"/>
  <c r="K259" i="2"/>
  <c r="O358" i="2"/>
  <c r="L314" i="2"/>
  <c r="L336" i="2"/>
  <c r="Q303" i="2"/>
  <c r="R336" i="2"/>
  <c r="M325" i="2"/>
  <c r="N369" i="2"/>
  <c r="O303" i="2"/>
  <c r="Q259" i="2"/>
  <c r="N336" i="2"/>
  <c r="O259" i="2"/>
  <c r="P259" i="2"/>
  <c r="P303" i="2"/>
  <c r="Q325" i="2"/>
  <c r="M314" i="2"/>
  <c r="L281" i="2"/>
  <c r="P325" i="2"/>
  <c r="R303" i="2"/>
  <c r="J314" i="2"/>
  <c r="L347" i="2"/>
  <c r="J281" i="2"/>
  <c r="Q336" i="2"/>
  <c r="J303" i="2"/>
  <c r="N259" i="2"/>
  <c r="K270" i="2"/>
  <c r="M369" i="2"/>
  <c r="Q270" i="2"/>
  <c r="P314" i="2"/>
  <c r="P336" i="2"/>
  <c r="K336" i="2"/>
  <c r="K303" i="2"/>
  <c r="Q358" i="2"/>
  <c r="J347" i="2"/>
  <c r="R325" i="2"/>
  <c r="K292" i="2"/>
  <c r="N303" i="2"/>
  <c r="P292" i="2"/>
  <c r="R314" i="2"/>
  <c r="O270" i="2"/>
  <c r="K347" i="2"/>
  <c r="R347" i="2"/>
  <c r="Q347" i="2"/>
  <c r="O325" i="2"/>
  <c r="M358" i="2"/>
  <c r="K325" i="2"/>
  <c r="P281" i="2"/>
  <c r="N281" i="2"/>
  <c r="L292" i="2"/>
  <c r="O336" i="2"/>
  <c r="Q292" i="2"/>
  <c r="J259" i="2"/>
  <c r="P369" i="2"/>
  <c r="R281" i="2"/>
  <c r="J369" i="2"/>
  <c r="R270" i="2"/>
  <c r="M347" i="2"/>
  <c r="O314" i="2"/>
  <c r="N358" i="2"/>
  <c r="L259" i="2"/>
  <c r="N314" i="2"/>
  <c r="M336" i="2"/>
  <c r="R358" i="2"/>
  <c r="N270" i="2"/>
  <c r="O347" i="2"/>
  <c r="J358" i="2"/>
  <c r="O292" i="2"/>
  <c r="N292" i="2"/>
  <c r="R369" i="2"/>
  <c r="P358" i="2"/>
  <c r="J270" i="2"/>
  <c r="L325" i="2"/>
  <c r="Q314" i="2"/>
  <c r="O281" i="2"/>
  <c r="N347" i="2"/>
  <c r="K281" i="2"/>
  <c r="J325" i="2"/>
  <c r="L303" i="2"/>
  <c r="M292" i="2"/>
  <c r="Q281" i="2"/>
  <c r="P270" i="2"/>
  <c r="R479" i="2"/>
  <c r="K314" i="2"/>
  <c r="L270" i="2"/>
  <c r="M259" i="2"/>
  <c r="L369" i="2"/>
  <c r="N325" i="2"/>
  <c r="M303" i="2"/>
  <c r="M281" i="2"/>
  <c r="R259" i="2"/>
  <c r="M270" i="2"/>
  <c r="L358" i="2"/>
  <c r="R292" i="2"/>
  <c r="J292" i="2"/>
  <c r="K358" i="2"/>
  <c r="P347" i="2"/>
  <c r="K369" i="2"/>
  <c r="J336" i="2"/>
  <c r="R293" i="2"/>
  <c r="N293" i="2"/>
  <c r="L337" i="2"/>
  <c r="P370" i="2"/>
  <c r="J381" i="2"/>
  <c r="J282" i="2"/>
  <c r="J359" i="2"/>
  <c r="R359" i="2"/>
  <c r="P304" i="2"/>
  <c r="O337" i="2"/>
  <c r="J293" i="2"/>
  <c r="N337" i="2"/>
  <c r="K315" i="2"/>
  <c r="M326" i="2"/>
  <c r="P282" i="2"/>
  <c r="O370" i="2"/>
  <c r="L348" i="2"/>
  <c r="K359" i="2"/>
  <c r="K370" i="2"/>
  <c r="O282" i="2"/>
  <c r="Q282" i="2"/>
  <c r="K381" i="2"/>
  <c r="R271" i="2"/>
  <c r="N348" i="2"/>
  <c r="R337" i="2"/>
  <c r="O348" i="2"/>
  <c r="O359" i="2"/>
  <c r="K337" i="2"/>
  <c r="Q348" i="2"/>
  <c r="L381" i="2"/>
  <c r="N359" i="2"/>
  <c r="M381" i="2"/>
  <c r="N315" i="2"/>
  <c r="P315" i="2"/>
  <c r="O304" i="2"/>
  <c r="R315" i="2"/>
  <c r="P271" i="2"/>
  <c r="Q337" i="2"/>
  <c r="M293" i="2"/>
  <c r="K326" i="2"/>
  <c r="N491" i="2"/>
  <c r="M337" i="2"/>
  <c r="Q304" i="2"/>
  <c r="J271" i="2"/>
  <c r="N381" i="2"/>
  <c r="O326" i="2"/>
  <c r="Q370" i="2"/>
  <c r="K304" i="2"/>
  <c r="P359" i="2"/>
  <c r="M282" i="2"/>
  <c r="O315" i="2"/>
  <c r="M359" i="2"/>
  <c r="O293" i="2"/>
  <c r="N326" i="2"/>
  <c r="R282" i="2"/>
  <c r="K271" i="2"/>
  <c r="L326" i="2"/>
  <c r="L282" i="2"/>
  <c r="K282" i="2"/>
  <c r="Q315" i="2"/>
  <c r="L304" i="2"/>
  <c r="Q326" i="2"/>
  <c r="P348" i="2"/>
  <c r="P326" i="2"/>
  <c r="M370" i="2"/>
  <c r="L315" i="2"/>
  <c r="N271" i="2"/>
  <c r="J337" i="2"/>
  <c r="N282" i="2"/>
  <c r="L359" i="2"/>
  <c r="J315" i="2"/>
  <c r="M271" i="2"/>
  <c r="J370" i="2"/>
  <c r="L370" i="2"/>
  <c r="N304" i="2"/>
  <c r="R304" i="2"/>
  <c r="R370" i="2"/>
  <c r="P337" i="2"/>
  <c r="O381" i="2"/>
  <c r="J348" i="2"/>
  <c r="P381" i="2"/>
  <c r="K348" i="2"/>
  <c r="Q381" i="2"/>
  <c r="J304" i="2"/>
  <c r="J326" i="2"/>
  <c r="L293" i="2"/>
  <c r="N370" i="2"/>
  <c r="P293" i="2"/>
  <c r="R348" i="2"/>
  <c r="Q293" i="2"/>
  <c r="M304" i="2"/>
  <c r="M315" i="2"/>
  <c r="R326" i="2"/>
  <c r="Q271" i="2"/>
  <c r="R381" i="2"/>
  <c r="M348" i="2"/>
  <c r="Q359" i="2"/>
  <c r="K293" i="2"/>
  <c r="K351" i="2"/>
  <c r="N285" i="2"/>
  <c r="L307" i="2"/>
  <c r="N296" i="2"/>
  <c r="K296" i="2"/>
  <c r="Q307" i="2"/>
  <c r="L285" i="2"/>
  <c r="K362" i="2"/>
  <c r="O307" i="2"/>
  <c r="M285" i="2"/>
  <c r="P351" i="2"/>
  <c r="N329" i="2"/>
  <c r="J307" i="2"/>
  <c r="J373" i="2"/>
  <c r="P296" i="2"/>
  <c r="K285" i="2"/>
  <c r="K318" i="2"/>
  <c r="N340" i="2"/>
  <c r="M340" i="2"/>
  <c r="O329" i="2"/>
  <c r="P307" i="2"/>
  <c r="M318" i="2"/>
  <c r="P340" i="2"/>
  <c r="K384" i="2"/>
  <c r="O285" i="2"/>
  <c r="J351" i="2"/>
  <c r="L296" i="2"/>
  <c r="L362" i="2"/>
  <c r="P285" i="2"/>
  <c r="P329" i="2"/>
  <c r="R373" i="2"/>
  <c r="K329" i="2"/>
  <c r="M351" i="2"/>
  <c r="K373" i="2"/>
  <c r="L274" i="2"/>
  <c r="K494" i="2"/>
  <c r="R274" i="2"/>
  <c r="P362" i="2"/>
  <c r="R285" i="2"/>
  <c r="P373" i="2"/>
  <c r="M296" i="2"/>
  <c r="L329" i="2"/>
  <c r="O362" i="2"/>
  <c r="N373" i="2"/>
  <c r="L351" i="2"/>
  <c r="Q318" i="2"/>
  <c r="Q362" i="2"/>
  <c r="O373" i="2"/>
  <c r="R307" i="2"/>
  <c r="R340" i="2"/>
  <c r="O384" i="2"/>
  <c r="O318" i="2"/>
  <c r="R351" i="2"/>
  <c r="N351" i="2"/>
  <c r="J340" i="2"/>
  <c r="Q285" i="2"/>
  <c r="R329" i="2"/>
  <c r="Q329" i="2"/>
  <c r="P318" i="2"/>
  <c r="R362" i="2"/>
  <c r="Q296" i="2"/>
  <c r="O340" i="2"/>
  <c r="K307" i="2"/>
  <c r="Q373" i="2"/>
  <c r="J285" i="2"/>
  <c r="O296" i="2"/>
  <c r="M362" i="2"/>
  <c r="M307" i="2"/>
  <c r="Q340" i="2"/>
  <c r="J274" i="2"/>
  <c r="Q351" i="2"/>
  <c r="R318" i="2"/>
  <c r="L373" i="2"/>
  <c r="N362" i="2"/>
  <c r="L318" i="2"/>
  <c r="R384" i="2"/>
  <c r="M373" i="2"/>
  <c r="N318" i="2"/>
  <c r="K340" i="2"/>
  <c r="L340" i="2"/>
  <c r="J318" i="2"/>
  <c r="O351" i="2"/>
  <c r="J362" i="2"/>
  <c r="M329" i="2"/>
  <c r="J329" i="2"/>
  <c r="R296" i="2"/>
  <c r="J296" i="2"/>
  <c r="N384" i="2"/>
  <c r="N307" i="2"/>
  <c r="L319" i="2"/>
  <c r="J319" i="2"/>
  <c r="J341" i="2"/>
  <c r="M363" i="2"/>
  <c r="K297" i="2"/>
  <c r="M319" i="2"/>
  <c r="N319" i="2"/>
  <c r="L308" i="2"/>
  <c r="P341" i="2"/>
  <c r="K385" i="2"/>
  <c r="O330" i="2"/>
  <c r="J297" i="2"/>
  <c r="K374" i="2"/>
  <c r="P319" i="2"/>
  <c r="L297" i="2"/>
  <c r="L341" i="2"/>
  <c r="Q330" i="2"/>
  <c r="P374" i="2"/>
  <c r="K341" i="2"/>
  <c r="M297" i="2"/>
  <c r="R363" i="2"/>
  <c r="S363" i="2" s="1"/>
  <c r="Q363" i="2"/>
  <c r="P385" i="2"/>
  <c r="K363" i="2"/>
  <c r="J385" i="2"/>
  <c r="M385" i="2"/>
  <c r="Q385" i="2"/>
  <c r="P297" i="2"/>
  <c r="N330" i="2"/>
  <c r="L374" i="2"/>
  <c r="N352" i="2"/>
  <c r="Q352" i="2"/>
  <c r="O385" i="2"/>
  <c r="J374" i="2"/>
  <c r="P396" i="2"/>
  <c r="R330" i="2"/>
  <c r="S330" i="2" s="1"/>
  <c r="Q297" i="2"/>
  <c r="L330" i="2"/>
  <c r="O341" i="2"/>
  <c r="O396" i="2"/>
  <c r="R308" i="2"/>
  <c r="S308" i="2" s="1"/>
  <c r="M352" i="2"/>
  <c r="P352" i="2"/>
  <c r="N363" i="2"/>
  <c r="K396" i="2"/>
  <c r="Q319" i="2"/>
  <c r="Q308" i="2"/>
  <c r="N374" i="2"/>
  <c r="O308" i="2"/>
  <c r="L363" i="2"/>
  <c r="M330" i="2"/>
  <c r="K330" i="2"/>
  <c r="J396" i="2"/>
  <c r="O297" i="2"/>
  <c r="L385" i="2"/>
  <c r="P363" i="2"/>
  <c r="O319" i="2"/>
  <c r="K352" i="2"/>
  <c r="M374" i="2"/>
  <c r="J330" i="2"/>
  <c r="P308" i="2"/>
  <c r="O352" i="2"/>
  <c r="N396" i="2"/>
  <c r="R374" i="2"/>
  <c r="S374" i="2" s="1"/>
  <c r="R341" i="2"/>
  <c r="S341" i="2" s="1"/>
  <c r="N308" i="2"/>
  <c r="R297" i="2"/>
  <c r="S297" i="2" s="1"/>
  <c r="N341" i="2"/>
  <c r="Q374" i="2"/>
  <c r="M396" i="2"/>
  <c r="J363" i="2"/>
  <c r="L352" i="2"/>
  <c r="J308" i="2"/>
  <c r="P330" i="2"/>
  <c r="N297" i="2"/>
  <c r="O363" i="2"/>
  <c r="R319" i="2"/>
  <c r="S319" i="2" s="1"/>
  <c r="R385" i="2"/>
  <c r="S385" i="2" s="1"/>
  <c r="K319" i="2"/>
  <c r="K308" i="2"/>
  <c r="J352" i="2"/>
  <c r="Q341" i="2"/>
  <c r="O374" i="2"/>
  <c r="R352" i="2"/>
  <c r="S352" i="2" s="1"/>
  <c r="M308" i="2"/>
  <c r="Q286" i="2"/>
  <c r="M341" i="2"/>
  <c r="N385" i="2"/>
  <c r="Q396" i="2"/>
  <c r="J342" i="2"/>
  <c r="K298" i="2"/>
  <c r="P408" i="2"/>
  <c r="K342" i="2"/>
  <c r="K375" i="2"/>
  <c r="M375" i="2"/>
  <c r="R408" i="2"/>
  <c r="R320" i="2"/>
  <c r="L320" i="2"/>
  <c r="N342" i="2"/>
  <c r="K364" i="2"/>
  <c r="Q342" i="2"/>
  <c r="J408" i="2"/>
  <c r="P353" i="2"/>
  <c r="K331" i="2"/>
  <c r="O331" i="2"/>
  <c r="K320" i="2"/>
  <c r="O342" i="2"/>
  <c r="Q364" i="2"/>
  <c r="M397" i="2"/>
  <c r="R353" i="2"/>
  <c r="O386" i="2"/>
  <c r="L386" i="2"/>
  <c r="N386" i="2"/>
  <c r="J353" i="2"/>
  <c r="Q386" i="2"/>
  <c r="O320" i="2"/>
  <c r="K386" i="2"/>
  <c r="L408" i="2"/>
  <c r="Q298" i="2"/>
  <c r="J320" i="2"/>
  <c r="J397" i="2"/>
  <c r="O375" i="2"/>
  <c r="O298" i="2"/>
  <c r="M309" i="2"/>
  <c r="Q331" i="2"/>
  <c r="M364" i="2"/>
  <c r="R386" i="2"/>
  <c r="R298" i="2"/>
  <c r="L397" i="2"/>
  <c r="N397" i="2"/>
  <c r="R364" i="2"/>
  <c r="M408" i="2"/>
  <c r="O353" i="2"/>
  <c r="N353" i="2"/>
  <c r="R331" i="2"/>
  <c r="J364" i="2"/>
  <c r="M320" i="2"/>
  <c r="Q408" i="2"/>
  <c r="N331" i="2"/>
  <c r="P364" i="2"/>
  <c r="P309" i="2"/>
  <c r="O364" i="2"/>
  <c r="L342" i="2"/>
  <c r="M331" i="2"/>
  <c r="N320" i="2"/>
  <c r="P320" i="2"/>
  <c r="P342" i="2"/>
  <c r="P331" i="2"/>
  <c r="M342" i="2"/>
  <c r="L309" i="2"/>
  <c r="R309" i="2"/>
  <c r="M386" i="2"/>
  <c r="N375" i="2"/>
  <c r="Q320" i="2"/>
  <c r="L331" i="2"/>
  <c r="R342" i="2"/>
  <c r="L364" i="2"/>
  <c r="O309" i="2"/>
  <c r="L375" i="2"/>
  <c r="O408" i="2"/>
  <c r="Q397" i="2"/>
  <c r="J386" i="2"/>
  <c r="K309" i="2"/>
  <c r="Q353" i="2"/>
  <c r="J375" i="2"/>
  <c r="J309" i="2"/>
  <c r="P397" i="2"/>
  <c r="J331" i="2"/>
  <c r="K397" i="2"/>
  <c r="Q309" i="2"/>
  <c r="M353" i="2"/>
  <c r="N364" i="2"/>
  <c r="N408" i="2"/>
  <c r="P386" i="2"/>
  <c r="N309" i="2"/>
  <c r="K353" i="2"/>
  <c r="R375" i="2"/>
  <c r="R397" i="2"/>
  <c r="Q375" i="2"/>
  <c r="O397" i="2"/>
  <c r="P375" i="2"/>
  <c r="L353" i="2"/>
  <c r="R343" i="2"/>
  <c r="P310" i="2"/>
  <c r="M409" i="2"/>
  <c r="P409" i="2"/>
  <c r="L365" i="2"/>
  <c r="O321" i="2"/>
  <c r="J420" i="2"/>
  <c r="O343" i="2"/>
  <c r="N343" i="2"/>
  <c r="O376" i="2"/>
  <c r="N376" i="2"/>
  <c r="Q354" i="2"/>
  <c r="L420" i="2"/>
  <c r="Q321" i="2"/>
  <c r="N332" i="2"/>
  <c r="K365" i="2"/>
  <c r="K332" i="2"/>
  <c r="P398" i="2"/>
  <c r="J332" i="2"/>
  <c r="J365" i="2"/>
  <c r="L354" i="2"/>
  <c r="K321" i="2"/>
  <c r="J354" i="2"/>
  <c r="N420" i="2"/>
  <c r="L387" i="2"/>
  <c r="K354" i="2"/>
  <c r="N310" i="2"/>
  <c r="M354" i="2"/>
  <c r="L310" i="2"/>
  <c r="L376" i="2"/>
  <c r="N409" i="2"/>
  <c r="O332" i="2"/>
  <c r="R387" i="2"/>
  <c r="N365" i="2"/>
  <c r="K376" i="2"/>
  <c r="L321" i="2"/>
  <c r="J387" i="2"/>
  <c r="K387" i="2"/>
  <c r="L343" i="2"/>
  <c r="L409" i="2"/>
  <c r="Q376" i="2"/>
  <c r="N387" i="2"/>
  <c r="M376" i="2"/>
  <c r="K343" i="2"/>
  <c r="K409" i="2"/>
  <c r="M310" i="2"/>
  <c r="J343" i="2"/>
  <c r="Q409" i="2"/>
  <c r="P321" i="2"/>
  <c r="J376" i="2"/>
  <c r="K310" i="2"/>
  <c r="P332" i="2"/>
  <c r="Q343" i="2"/>
  <c r="P387" i="2"/>
  <c r="P343" i="2"/>
  <c r="N398" i="2"/>
  <c r="Q387" i="2"/>
  <c r="M365" i="2"/>
  <c r="N321" i="2"/>
  <c r="R398" i="2"/>
  <c r="P354" i="2"/>
  <c r="M343" i="2"/>
  <c r="O310" i="2"/>
  <c r="P376" i="2"/>
  <c r="L332" i="2"/>
  <c r="O409" i="2"/>
  <c r="O354" i="2"/>
  <c r="M398" i="2"/>
  <c r="J409" i="2"/>
  <c r="J321" i="2"/>
  <c r="M321" i="2"/>
  <c r="O387" i="2"/>
  <c r="J398" i="2"/>
  <c r="P365" i="2"/>
  <c r="K398" i="2"/>
  <c r="L398" i="2"/>
  <c r="R409" i="2"/>
  <c r="R354" i="2"/>
  <c r="R321" i="2"/>
  <c r="Q365" i="2"/>
  <c r="P530" i="2"/>
  <c r="O365" i="2"/>
  <c r="M387" i="2"/>
  <c r="R365" i="2"/>
  <c r="Q332" i="2"/>
  <c r="R332" i="2"/>
  <c r="N354" i="2"/>
  <c r="O398" i="2"/>
  <c r="Q398" i="2"/>
  <c r="R376" i="2"/>
  <c r="M332" i="2"/>
  <c r="J443" i="2"/>
  <c r="R355" i="2"/>
  <c r="J410" i="2"/>
  <c r="K355" i="2"/>
  <c r="L355" i="2"/>
  <c r="N399" i="2"/>
  <c r="M366" i="2"/>
  <c r="Q355" i="2"/>
  <c r="R432" i="2"/>
  <c r="M344" i="2"/>
  <c r="R366" i="2"/>
  <c r="Q421" i="2"/>
  <c r="K377" i="2"/>
  <c r="J355" i="2"/>
  <c r="P388" i="2"/>
  <c r="Q377" i="2"/>
  <c r="J333" i="2"/>
  <c r="N410" i="2"/>
  <c r="J421" i="2"/>
  <c r="O355" i="2"/>
  <c r="L399" i="2"/>
  <c r="J377" i="2"/>
  <c r="P366" i="2"/>
  <c r="N377" i="2"/>
  <c r="J399" i="2"/>
  <c r="N355" i="2"/>
  <c r="O388" i="2"/>
  <c r="P344" i="2"/>
  <c r="Q366" i="2"/>
  <c r="N366" i="2"/>
  <c r="N344" i="2"/>
  <c r="K421" i="2"/>
  <c r="Q399" i="2"/>
  <c r="O344" i="2"/>
  <c r="L366" i="2"/>
  <c r="J344" i="2"/>
  <c r="L443" i="2"/>
  <c r="Q388" i="2"/>
  <c r="L377" i="2"/>
  <c r="Q344" i="2"/>
  <c r="Q410" i="2"/>
  <c r="K399" i="2"/>
  <c r="R388" i="2"/>
  <c r="Q432" i="2"/>
  <c r="N421" i="2"/>
  <c r="L344" i="2"/>
  <c r="J432" i="2"/>
  <c r="L432" i="2"/>
  <c r="M410" i="2"/>
  <c r="R410" i="2"/>
  <c r="R443" i="2"/>
  <c r="L410" i="2"/>
  <c r="O432" i="2"/>
  <c r="K432" i="2"/>
  <c r="P355" i="2"/>
  <c r="M432" i="2"/>
  <c r="J388" i="2"/>
  <c r="O366" i="2"/>
  <c r="M421" i="2"/>
  <c r="M377" i="2"/>
  <c r="O410" i="2"/>
  <c r="R399" i="2"/>
  <c r="M355" i="2"/>
  <c r="K344" i="2"/>
  <c r="L388" i="2"/>
  <c r="R377" i="2"/>
  <c r="R344" i="2"/>
  <c r="P399" i="2"/>
  <c r="N432" i="2"/>
  <c r="P432" i="2"/>
  <c r="K333" i="2"/>
  <c r="O421" i="2"/>
  <c r="O399" i="2"/>
  <c r="N443" i="2"/>
  <c r="P377" i="2"/>
  <c r="L421" i="2"/>
  <c r="K388" i="2"/>
  <c r="M399" i="2"/>
  <c r="O377" i="2"/>
  <c r="K366" i="2"/>
  <c r="K410" i="2"/>
  <c r="J366" i="2"/>
  <c r="N388" i="2"/>
  <c r="M388" i="2"/>
  <c r="P410" i="2"/>
  <c r="R421" i="2"/>
  <c r="L333" i="2"/>
  <c r="P421" i="2"/>
  <c r="K345" i="2"/>
  <c r="P400" i="2"/>
  <c r="P367" i="2"/>
  <c r="K367" i="2"/>
  <c r="L455" i="2"/>
  <c r="O411" i="2"/>
  <c r="L367" i="2"/>
  <c r="J433" i="2"/>
  <c r="J389" i="2"/>
  <c r="M422" i="2"/>
  <c r="O389" i="2"/>
  <c r="J455" i="2"/>
  <c r="R356" i="2"/>
  <c r="M433" i="2"/>
  <c r="K389" i="2"/>
  <c r="P411" i="2"/>
  <c r="R411" i="2"/>
  <c r="M455" i="2"/>
  <c r="Q411" i="2"/>
  <c r="K422" i="2"/>
  <c r="N356" i="2"/>
  <c r="R455" i="2"/>
  <c r="Q400" i="2"/>
  <c r="M389" i="2"/>
  <c r="P433" i="2"/>
  <c r="K433" i="2"/>
  <c r="M378" i="2"/>
  <c r="N422" i="2"/>
  <c r="N378" i="2"/>
  <c r="K400" i="2"/>
  <c r="O367" i="2"/>
  <c r="J356" i="2"/>
  <c r="Q433" i="2"/>
  <c r="L422" i="2"/>
  <c r="O433" i="2"/>
  <c r="L389" i="2"/>
  <c r="M345" i="2"/>
  <c r="R345" i="2"/>
  <c r="P455" i="2"/>
  <c r="N367" i="2"/>
  <c r="M400" i="2"/>
  <c r="R389" i="2"/>
  <c r="J444" i="2"/>
  <c r="O400" i="2"/>
  <c r="R422" i="2"/>
  <c r="N444" i="2"/>
  <c r="L356" i="2"/>
  <c r="Q345" i="2"/>
  <c r="K356" i="2"/>
  <c r="L411" i="2"/>
  <c r="L378" i="2"/>
  <c r="R367" i="2"/>
  <c r="Q422" i="2"/>
  <c r="O444" i="2"/>
  <c r="N455" i="2"/>
  <c r="J367" i="2"/>
  <c r="R400" i="2"/>
  <c r="Q367" i="2"/>
  <c r="K444" i="2"/>
  <c r="O422" i="2"/>
  <c r="N400" i="2"/>
  <c r="Q444" i="2"/>
  <c r="M444" i="2"/>
  <c r="M367" i="2"/>
  <c r="L400" i="2"/>
  <c r="M411" i="2"/>
  <c r="P356" i="2"/>
  <c r="R433" i="2"/>
  <c r="M356" i="2"/>
  <c r="L433" i="2"/>
  <c r="L444" i="2"/>
  <c r="O356" i="2"/>
  <c r="O378" i="2"/>
  <c r="O455" i="2"/>
  <c r="J400" i="2"/>
  <c r="K455" i="2"/>
  <c r="R378" i="2"/>
  <c r="L345" i="2"/>
  <c r="P422" i="2"/>
  <c r="N433" i="2"/>
  <c r="Q389" i="2"/>
  <c r="J411" i="2"/>
  <c r="Q378" i="2"/>
  <c r="K378" i="2"/>
  <c r="N411" i="2"/>
  <c r="J378" i="2"/>
  <c r="P378" i="2"/>
  <c r="P389" i="2"/>
  <c r="K411" i="2"/>
  <c r="R444" i="2"/>
  <c r="Q455" i="2"/>
  <c r="J422" i="2"/>
  <c r="N389" i="2"/>
  <c r="Q356" i="2"/>
  <c r="P444" i="2"/>
  <c r="P401" i="2"/>
  <c r="P434" i="2"/>
  <c r="Q423" i="2"/>
  <c r="L390" i="2"/>
  <c r="O434" i="2"/>
  <c r="P445" i="2"/>
  <c r="Q390" i="2"/>
  <c r="J456" i="2"/>
  <c r="O456" i="2"/>
  <c r="Q412" i="2"/>
  <c r="M434" i="2"/>
  <c r="M423" i="2"/>
  <c r="R379" i="2"/>
  <c r="K423" i="2"/>
  <c r="J379" i="2"/>
  <c r="P357" i="2"/>
  <c r="J423" i="2"/>
  <c r="O368" i="2"/>
  <c r="Q434" i="2"/>
  <c r="L445" i="2"/>
  <c r="K368" i="2"/>
  <c r="N357" i="2"/>
  <c r="O401" i="2"/>
  <c r="J401" i="2"/>
  <c r="J368" i="2"/>
  <c r="N412" i="2"/>
  <c r="L434" i="2"/>
  <c r="R445" i="2"/>
  <c r="R412" i="2"/>
  <c r="M456" i="2"/>
  <c r="P379" i="2"/>
  <c r="R401" i="2"/>
  <c r="K390" i="2"/>
  <c r="N423" i="2"/>
  <c r="M412" i="2"/>
  <c r="R390" i="2"/>
  <c r="M379" i="2"/>
  <c r="L467" i="2"/>
  <c r="R456" i="2"/>
  <c r="O379" i="2"/>
  <c r="M390" i="2"/>
  <c r="N445" i="2"/>
  <c r="K401" i="2"/>
  <c r="L379" i="2"/>
  <c r="M467" i="2"/>
  <c r="K412" i="2"/>
  <c r="R357" i="2"/>
  <c r="R423" i="2"/>
  <c r="R434" i="2"/>
  <c r="O445" i="2"/>
  <c r="N390" i="2"/>
  <c r="J434" i="2"/>
  <c r="K379" i="2"/>
  <c r="M368" i="2"/>
  <c r="P423" i="2"/>
  <c r="K434" i="2"/>
  <c r="O412" i="2"/>
  <c r="Q368" i="2"/>
  <c r="Q456" i="2"/>
  <c r="L401" i="2"/>
  <c r="K445" i="2"/>
  <c r="L368" i="2"/>
  <c r="N434" i="2"/>
  <c r="K467" i="2"/>
  <c r="M401" i="2"/>
  <c r="J445" i="2"/>
  <c r="P368" i="2"/>
  <c r="Q445" i="2"/>
  <c r="N401" i="2"/>
  <c r="J467" i="2"/>
  <c r="M445" i="2"/>
  <c r="L423" i="2"/>
  <c r="O390" i="2"/>
  <c r="L456" i="2"/>
  <c r="J412" i="2"/>
  <c r="K456" i="2"/>
  <c r="P390" i="2"/>
  <c r="R368" i="2"/>
  <c r="N379" i="2"/>
  <c r="P456" i="2"/>
  <c r="J390" i="2"/>
  <c r="L412" i="2"/>
  <c r="N368" i="2"/>
  <c r="N456" i="2"/>
  <c r="P412" i="2"/>
  <c r="O423" i="2"/>
  <c r="Q379" i="2"/>
  <c r="Q401" i="2"/>
  <c r="R402" i="2"/>
  <c r="N479" i="2"/>
  <c r="O446" i="2"/>
  <c r="M435" i="2"/>
  <c r="P391" i="2"/>
  <c r="L479" i="2"/>
  <c r="L413" i="2"/>
  <c r="P479" i="2"/>
  <c r="R413" i="2"/>
  <c r="P413" i="2"/>
  <c r="K468" i="2"/>
  <c r="P380" i="2"/>
  <c r="K424" i="2"/>
  <c r="J468" i="2"/>
  <c r="Q380" i="2"/>
  <c r="Q446" i="2"/>
  <c r="N380" i="2"/>
  <c r="Q435" i="2"/>
  <c r="L457" i="2"/>
  <c r="N457" i="2"/>
  <c r="M424" i="2"/>
  <c r="L435" i="2"/>
  <c r="N468" i="2"/>
  <c r="O424" i="2"/>
  <c r="K457" i="2"/>
  <c r="Q457" i="2"/>
  <c r="J446" i="2"/>
  <c r="L424" i="2"/>
  <c r="O435" i="2"/>
  <c r="L402" i="2"/>
  <c r="M402" i="2"/>
  <c r="M446" i="2"/>
  <c r="O457" i="2"/>
  <c r="R391" i="2"/>
  <c r="K413" i="2"/>
  <c r="J457" i="2"/>
  <c r="L468" i="2"/>
  <c r="J424" i="2"/>
  <c r="Q413" i="2"/>
  <c r="R468" i="2"/>
  <c r="R435" i="2"/>
  <c r="M468" i="2"/>
  <c r="O380" i="2"/>
  <c r="O391" i="2"/>
  <c r="N424" i="2"/>
  <c r="N402" i="2"/>
  <c r="Q424" i="2"/>
  <c r="Q369" i="2"/>
  <c r="K446" i="2"/>
  <c r="P468" i="2"/>
  <c r="L391" i="2"/>
  <c r="P424" i="2"/>
  <c r="M457" i="2"/>
  <c r="Q468" i="2"/>
  <c r="O402" i="2"/>
  <c r="O468" i="2"/>
  <c r="L446" i="2"/>
  <c r="N413" i="2"/>
  <c r="J391" i="2"/>
  <c r="J435" i="2"/>
  <c r="K380" i="2"/>
  <c r="L380" i="2"/>
  <c r="Q391" i="2"/>
  <c r="K402" i="2"/>
  <c r="R424" i="2"/>
  <c r="M391" i="2"/>
  <c r="P402" i="2"/>
  <c r="N435" i="2"/>
  <c r="P457" i="2"/>
  <c r="R446" i="2"/>
  <c r="N391" i="2"/>
  <c r="R457" i="2"/>
  <c r="J413" i="2"/>
  <c r="K391" i="2"/>
  <c r="Q402" i="2"/>
  <c r="M380" i="2"/>
  <c r="P446" i="2"/>
  <c r="R380" i="2"/>
  <c r="M413" i="2"/>
  <c r="N446" i="2"/>
  <c r="P435" i="2"/>
  <c r="J380" i="2"/>
  <c r="J402" i="2"/>
  <c r="K435" i="2"/>
  <c r="O413" i="2"/>
  <c r="N414" i="2"/>
  <c r="J403" i="2"/>
  <c r="J436" i="2"/>
  <c r="Q480" i="2"/>
  <c r="R425" i="2"/>
  <c r="Q403" i="2"/>
  <c r="P414" i="2"/>
  <c r="P480" i="2"/>
  <c r="J458" i="2"/>
  <c r="Q458" i="2"/>
  <c r="K436" i="2"/>
  <c r="K458" i="2"/>
  <c r="M469" i="2"/>
  <c r="K447" i="2"/>
  <c r="N436" i="2"/>
  <c r="K392" i="2"/>
  <c r="O414" i="2"/>
  <c r="P458" i="2"/>
  <c r="M392" i="2"/>
  <c r="P469" i="2"/>
  <c r="N392" i="2"/>
  <c r="Q491" i="2"/>
  <c r="J414" i="2"/>
  <c r="N425" i="2"/>
  <c r="M425" i="2"/>
  <c r="J392" i="2"/>
  <c r="R436" i="2"/>
  <c r="K480" i="2"/>
  <c r="K425" i="2"/>
  <c r="O392" i="2"/>
  <c r="O447" i="2"/>
  <c r="Q436" i="2"/>
  <c r="P392" i="2"/>
  <c r="M491" i="2"/>
  <c r="L425" i="2"/>
  <c r="J480" i="2"/>
  <c r="P436" i="2"/>
  <c r="K491" i="2"/>
  <c r="O403" i="2"/>
  <c r="Q447" i="2"/>
  <c r="R403" i="2"/>
  <c r="P447" i="2"/>
  <c r="O458" i="2"/>
  <c r="O469" i="2"/>
  <c r="N447" i="2"/>
  <c r="Q414" i="2"/>
  <c r="J469" i="2"/>
  <c r="R469" i="2"/>
  <c r="O436" i="2"/>
  <c r="Q392" i="2"/>
  <c r="K469" i="2"/>
  <c r="R414" i="2"/>
  <c r="L414" i="2"/>
  <c r="J425" i="2"/>
  <c r="M447" i="2"/>
  <c r="N403" i="2"/>
  <c r="N458" i="2"/>
  <c r="L447" i="2"/>
  <c r="P403" i="2"/>
  <c r="R447" i="2"/>
  <c r="N480" i="2"/>
  <c r="R458" i="2"/>
  <c r="M436" i="2"/>
  <c r="K414" i="2"/>
  <c r="L458" i="2"/>
  <c r="N469" i="2"/>
  <c r="M414" i="2"/>
  <c r="P425" i="2"/>
  <c r="M403" i="2"/>
  <c r="L436" i="2"/>
  <c r="O480" i="2"/>
  <c r="R491" i="2"/>
  <c r="M458" i="2"/>
  <c r="Q425" i="2"/>
  <c r="L480" i="2"/>
  <c r="L469" i="2"/>
  <c r="L392" i="2"/>
  <c r="K403" i="2"/>
  <c r="M480" i="2"/>
  <c r="R480" i="2"/>
  <c r="L491" i="2"/>
  <c r="Q469" i="2"/>
  <c r="L403" i="2"/>
  <c r="J447" i="2"/>
  <c r="R392" i="2"/>
  <c r="O425" i="2"/>
  <c r="L472" i="2"/>
  <c r="P450" i="2"/>
  <c r="K395" i="2"/>
  <c r="M428" i="2"/>
  <c r="P483" i="2"/>
  <c r="N417" i="2"/>
  <c r="N483" i="2"/>
  <c r="J461" i="2"/>
  <c r="J428" i="2"/>
  <c r="O461" i="2"/>
  <c r="L384" i="2"/>
  <c r="L461" i="2"/>
  <c r="K472" i="2"/>
  <c r="Q428" i="2"/>
  <c r="N461" i="2"/>
  <c r="J406" i="2"/>
  <c r="Q494" i="2"/>
  <c r="O417" i="2"/>
  <c r="Q461" i="2"/>
  <c r="M483" i="2"/>
  <c r="N439" i="2"/>
  <c r="N406" i="2"/>
  <c r="Q483" i="2"/>
  <c r="P417" i="2"/>
  <c r="P439" i="2"/>
  <c r="L428" i="2"/>
  <c r="K417" i="2"/>
  <c r="J439" i="2"/>
  <c r="N472" i="2"/>
  <c r="Q395" i="2"/>
  <c r="O428" i="2"/>
  <c r="L494" i="2"/>
  <c r="K450" i="2"/>
  <c r="M472" i="2"/>
  <c r="M450" i="2"/>
  <c r="O395" i="2"/>
  <c r="P406" i="2"/>
  <c r="O406" i="2"/>
  <c r="R406" i="2"/>
  <c r="M461" i="2"/>
  <c r="K461" i="2"/>
  <c r="J483" i="2"/>
  <c r="L450" i="2"/>
  <c r="R439" i="2"/>
  <c r="R450" i="2"/>
  <c r="R395" i="2"/>
  <c r="P461" i="2"/>
  <c r="L483" i="2"/>
  <c r="Q417" i="2"/>
  <c r="K428" i="2"/>
  <c r="Q384" i="2"/>
  <c r="R417" i="2"/>
  <c r="M384" i="2"/>
  <c r="K483" i="2"/>
  <c r="O450" i="2"/>
  <c r="O483" i="2"/>
  <c r="L406" i="2"/>
  <c r="J395" i="2"/>
  <c r="N428" i="2"/>
  <c r="P395" i="2"/>
  <c r="J417" i="2"/>
  <c r="Q472" i="2"/>
  <c r="P428" i="2"/>
  <c r="Q450" i="2"/>
  <c r="P384" i="2"/>
  <c r="N494" i="2"/>
  <c r="M406" i="2"/>
  <c r="K406" i="2"/>
  <c r="Q439" i="2"/>
  <c r="N395" i="2"/>
  <c r="N450" i="2"/>
  <c r="L439" i="2"/>
  <c r="R483" i="2"/>
  <c r="O472" i="2"/>
  <c r="K439" i="2"/>
  <c r="M494" i="2"/>
  <c r="J450" i="2"/>
  <c r="R472" i="2"/>
  <c r="J472" i="2"/>
  <c r="M395" i="2"/>
  <c r="M439" i="2"/>
  <c r="M417" i="2"/>
  <c r="O439" i="2"/>
  <c r="L417" i="2"/>
  <c r="R461" i="2"/>
  <c r="Q406" i="2"/>
  <c r="P472" i="2"/>
  <c r="R428" i="2"/>
  <c r="L395" i="2"/>
  <c r="L396" i="2"/>
  <c r="N440" i="2"/>
  <c r="R484" i="2"/>
  <c r="S484" i="2" s="1"/>
  <c r="R407" i="2"/>
  <c r="S407" i="2" s="1"/>
  <c r="Q473" i="2"/>
  <c r="R429" i="2"/>
  <c r="S429" i="2" s="1"/>
  <c r="L451" i="2"/>
  <c r="N407" i="2"/>
  <c r="N484" i="2"/>
  <c r="O429" i="2"/>
  <c r="Q495" i="2"/>
  <c r="J418" i="2"/>
  <c r="O506" i="2"/>
  <c r="M429" i="2"/>
  <c r="K418" i="2"/>
  <c r="O473" i="2"/>
  <c r="N473" i="2"/>
  <c r="N506" i="2"/>
  <c r="L506" i="2"/>
  <c r="O484" i="2"/>
  <c r="O407" i="2"/>
  <c r="Q407" i="2"/>
  <c r="P462" i="2"/>
  <c r="K484" i="2"/>
  <c r="O451" i="2"/>
  <c r="L473" i="2"/>
  <c r="N462" i="2"/>
  <c r="Q484" i="2"/>
  <c r="K451" i="2"/>
  <c r="P418" i="2"/>
  <c r="M473" i="2"/>
  <c r="Q451" i="2"/>
  <c r="L418" i="2"/>
  <c r="K407" i="2"/>
  <c r="Q429" i="2"/>
  <c r="J462" i="2"/>
  <c r="R495" i="2"/>
  <c r="S495" i="2" s="1"/>
  <c r="M407" i="2"/>
  <c r="O440" i="2"/>
  <c r="J473" i="2"/>
  <c r="L407" i="2"/>
  <c r="M506" i="2"/>
  <c r="K462" i="2"/>
  <c r="O418" i="2"/>
  <c r="M484" i="2"/>
  <c r="P440" i="2"/>
  <c r="J495" i="2"/>
  <c r="J429" i="2"/>
  <c r="K495" i="2"/>
  <c r="L440" i="2"/>
  <c r="P451" i="2"/>
  <c r="M418" i="2"/>
  <c r="J440" i="2"/>
  <c r="Q506" i="2"/>
  <c r="P495" i="2"/>
  <c r="R462" i="2"/>
  <c r="S462" i="2" s="1"/>
  <c r="L495" i="2"/>
  <c r="N451" i="2"/>
  <c r="P506" i="2"/>
  <c r="P484" i="2"/>
  <c r="N495" i="2"/>
  <c r="K440" i="2"/>
  <c r="P407" i="2"/>
  <c r="Q418" i="2"/>
  <c r="Q440" i="2"/>
  <c r="M451" i="2"/>
  <c r="R451" i="2"/>
  <c r="S451" i="2" s="1"/>
  <c r="N429" i="2"/>
  <c r="J506" i="2"/>
  <c r="O495" i="2"/>
  <c r="J451" i="2"/>
  <c r="M462" i="2"/>
  <c r="K506" i="2"/>
  <c r="R506" i="2"/>
  <c r="S506" i="2" s="1"/>
  <c r="M440" i="2"/>
  <c r="L429" i="2"/>
  <c r="R440" i="2"/>
  <c r="S440" i="2" s="1"/>
  <c r="P429" i="2"/>
  <c r="J407" i="2"/>
  <c r="R418" i="2"/>
  <c r="S418" i="2" s="1"/>
  <c r="N418" i="2"/>
  <c r="R473" i="2"/>
  <c r="S473" i="2" s="1"/>
  <c r="P473" i="2"/>
  <c r="J484" i="2"/>
  <c r="Q462" i="2"/>
  <c r="M495" i="2"/>
  <c r="O462" i="2"/>
  <c r="L462" i="2"/>
  <c r="K473" i="2"/>
  <c r="L484" i="2"/>
  <c r="K429" i="2"/>
  <c r="L485" i="2"/>
  <c r="J507" i="2"/>
  <c r="L430" i="2"/>
  <c r="R474" i="2"/>
  <c r="L463" i="2"/>
  <c r="M507" i="2"/>
  <c r="M419" i="2"/>
  <c r="K485" i="2"/>
  <c r="M430" i="2"/>
  <c r="O463" i="2"/>
  <c r="Q496" i="2"/>
  <c r="J485" i="2"/>
  <c r="O485" i="2"/>
  <c r="P507" i="2"/>
  <c r="N474" i="2"/>
  <c r="P485" i="2"/>
  <c r="J441" i="2"/>
  <c r="Q441" i="2"/>
  <c r="M485" i="2"/>
  <c r="N430" i="2"/>
  <c r="L507" i="2"/>
  <c r="Q452" i="2"/>
  <c r="P452" i="2"/>
  <c r="R463" i="2"/>
  <c r="K474" i="2"/>
  <c r="K463" i="2"/>
  <c r="P496" i="2"/>
  <c r="L419" i="2"/>
  <c r="J419" i="2"/>
  <c r="N441" i="2"/>
  <c r="M452" i="2"/>
  <c r="M474" i="2"/>
  <c r="P474" i="2"/>
  <c r="O419" i="2"/>
  <c r="M463" i="2"/>
  <c r="O452" i="2"/>
  <c r="P463" i="2"/>
  <c r="M496" i="2"/>
  <c r="N452" i="2"/>
  <c r="O474" i="2"/>
  <c r="O507" i="2"/>
  <c r="Q430" i="2"/>
  <c r="R507" i="2"/>
  <c r="N496" i="2"/>
  <c r="K441" i="2"/>
  <c r="R485" i="2"/>
  <c r="R419" i="2"/>
  <c r="K419" i="2"/>
  <c r="J430" i="2"/>
  <c r="O496" i="2"/>
  <c r="L441" i="2"/>
  <c r="P419" i="2"/>
  <c r="Q507" i="2"/>
  <c r="L496" i="2"/>
  <c r="O430" i="2"/>
  <c r="L474" i="2"/>
  <c r="N463" i="2"/>
  <c r="R441" i="2"/>
  <c r="Q463" i="2"/>
  <c r="O441" i="2"/>
  <c r="J496" i="2"/>
  <c r="N507" i="2"/>
  <c r="Q419" i="2"/>
  <c r="R496" i="2"/>
  <c r="J474" i="2"/>
  <c r="Q485" i="2"/>
  <c r="K496" i="2"/>
  <c r="N485" i="2"/>
  <c r="J463" i="2"/>
  <c r="P430" i="2"/>
  <c r="P441" i="2"/>
  <c r="K452" i="2"/>
  <c r="K507" i="2"/>
  <c r="R430" i="2"/>
  <c r="N419" i="2"/>
  <c r="M441" i="2"/>
  <c r="L452" i="2"/>
  <c r="Q474" i="2"/>
  <c r="J452" i="2"/>
  <c r="R452" i="2"/>
  <c r="K430" i="2"/>
  <c r="R475" i="2"/>
  <c r="K431" i="2"/>
  <c r="M508" i="2"/>
  <c r="J530" i="2"/>
  <c r="R431" i="2"/>
  <c r="M530" i="2"/>
  <c r="L519" i="2"/>
  <c r="R442" i="2"/>
  <c r="M420" i="2"/>
  <c r="N475" i="2"/>
  <c r="Q486" i="2"/>
  <c r="K508" i="2"/>
  <c r="O508" i="2"/>
  <c r="Q508" i="2"/>
  <c r="K497" i="2"/>
  <c r="R508" i="2"/>
  <c r="O530" i="2"/>
  <c r="N453" i="2"/>
  <c r="O475" i="2"/>
  <c r="Q442" i="2"/>
  <c r="M486" i="2"/>
  <c r="R464" i="2"/>
  <c r="L508" i="2"/>
  <c r="K464" i="2"/>
  <c r="M453" i="2"/>
  <c r="K519" i="2"/>
  <c r="M442" i="2"/>
  <c r="P497" i="2"/>
  <c r="M431" i="2"/>
  <c r="J508" i="2"/>
  <c r="K442" i="2"/>
  <c r="N464" i="2"/>
  <c r="P508" i="2"/>
  <c r="P475" i="2"/>
  <c r="P442" i="2"/>
  <c r="O431" i="2"/>
  <c r="L475" i="2"/>
  <c r="J497" i="2"/>
  <c r="L442" i="2"/>
  <c r="L497" i="2"/>
  <c r="P420" i="2"/>
  <c r="O420" i="2"/>
  <c r="Q464" i="2"/>
  <c r="J519" i="2"/>
  <c r="N508" i="2"/>
  <c r="R497" i="2"/>
  <c r="R519" i="2"/>
  <c r="K420" i="2"/>
  <c r="M464" i="2"/>
  <c r="J431" i="2"/>
  <c r="L453" i="2"/>
  <c r="M497" i="2"/>
  <c r="N519" i="2"/>
  <c r="M475" i="2"/>
  <c r="Q431" i="2"/>
  <c r="J475" i="2"/>
  <c r="L464" i="2"/>
  <c r="O497" i="2"/>
  <c r="N486" i="2"/>
  <c r="N497" i="2"/>
  <c r="N431" i="2"/>
  <c r="Q475" i="2"/>
  <c r="P464" i="2"/>
  <c r="K453" i="2"/>
  <c r="R453" i="2"/>
  <c r="P486" i="2"/>
  <c r="L486" i="2"/>
  <c r="J442" i="2"/>
  <c r="O453" i="2"/>
  <c r="O519" i="2"/>
  <c r="O442" i="2"/>
  <c r="R420" i="2"/>
  <c r="Q519" i="2"/>
  <c r="N442" i="2"/>
  <c r="Q453" i="2"/>
  <c r="K486" i="2"/>
  <c r="J464" i="2"/>
  <c r="J486" i="2"/>
  <c r="O464" i="2"/>
  <c r="J453" i="2"/>
  <c r="K475" i="2"/>
  <c r="P431" i="2"/>
  <c r="O486" i="2"/>
  <c r="R486" i="2"/>
  <c r="P519" i="2"/>
  <c r="Q497" i="2"/>
  <c r="P453" i="2"/>
  <c r="L431" i="2"/>
  <c r="Q420" i="2"/>
  <c r="M519" i="2"/>
  <c r="O443" i="2"/>
  <c r="I355" i="2"/>
  <c r="I432" i="2"/>
  <c r="J487" i="2"/>
  <c r="M509" i="2"/>
  <c r="J498" i="2"/>
  <c r="P531" i="2"/>
  <c r="G476" i="2"/>
  <c r="G465" i="2"/>
  <c r="K542" i="2"/>
  <c r="I113" i="2"/>
  <c r="P520" i="2"/>
  <c r="R520" i="2"/>
  <c r="I410" i="2"/>
  <c r="Q542" i="2"/>
  <c r="O498" i="2"/>
  <c r="H234" i="2"/>
  <c r="I476" i="2"/>
  <c r="I80" i="2"/>
  <c r="I377" i="2"/>
  <c r="I399" i="2"/>
  <c r="I542" i="2"/>
  <c r="G146" i="2"/>
  <c r="L531" i="2"/>
  <c r="H300" i="2"/>
  <c r="I234" i="2"/>
  <c r="H487" i="2"/>
  <c r="L487" i="2"/>
  <c r="N520" i="2"/>
  <c r="G498" i="2"/>
  <c r="N531" i="2"/>
  <c r="R476" i="2"/>
  <c r="H69" i="2"/>
  <c r="G432" i="2"/>
  <c r="M487" i="2"/>
  <c r="H399" i="2"/>
  <c r="J520" i="2"/>
  <c r="I531" i="2"/>
  <c r="H498" i="2"/>
  <c r="M443" i="2"/>
  <c r="N465" i="2"/>
  <c r="I190" i="2"/>
  <c r="I179" i="2"/>
  <c r="I69" i="2"/>
  <c r="H454" i="2"/>
  <c r="G487" i="2"/>
  <c r="M542" i="2"/>
  <c r="G102" i="2"/>
  <c r="G311" i="2"/>
  <c r="L542" i="2"/>
  <c r="I388" i="2"/>
  <c r="K509" i="2"/>
  <c r="G223" i="2"/>
  <c r="Q509" i="2"/>
  <c r="I102" i="2"/>
  <c r="I421" i="2"/>
  <c r="H256" i="2"/>
  <c r="O520" i="2"/>
  <c r="L509" i="2"/>
  <c r="H322" i="2"/>
  <c r="H157" i="2"/>
  <c r="K498" i="2"/>
  <c r="P487" i="2"/>
  <c r="G124" i="2"/>
  <c r="I300" i="2"/>
  <c r="G355" i="2"/>
  <c r="G366" i="2"/>
  <c r="I14" i="2"/>
  <c r="H509" i="2"/>
  <c r="L454" i="2"/>
  <c r="G531" i="2"/>
  <c r="H311" i="2"/>
  <c r="I344" i="2"/>
  <c r="I223" i="2"/>
  <c r="G234" i="2"/>
  <c r="I25" i="2"/>
  <c r="M454" i="2"/>
  <c r="H25" i="2"/>
  <c r="P454" i="2"/>
  <c r="G509" i="2"/>
  <c r="R542" i="2"/>
  <c r="H201" i="2"/>
  <c r="M476" i="2"/>
  <c r="I245" i="2"/>
  <c r="J509" i="2"/>
  <c r="M498" i="2"/>
  <c r="G91" i="2"/>
  <c r="R487" i="2"/>
  <c r="H366" i="2"/>
  <c r="G520" i="2"/>
  <c r="G69" i="2"/>
  <c r="G245" i="2"/>
  <c r="I124" i="2"/>
  <c r="G410" i="2"/>
  <c r="I487" i="2"/>
  <c r="L465" i="2"/>
  <c r="P509" i="2"/>
  <c r="G36" i="2"/>
  <c r="N509" i="2"/>
  <c r="H47" i="2"/>
  <c r="L520" i="2"/>
  <c r="H146" i="2"/>
  <c r="N487" i="2"/>
  <c r="I135" i="2"/>
  <c r="I520" i="2"/>
  <c r="I465" i="2"/>
  <c r="G113" i="2"/>
  <c r="G267" i="2"/>
  <c r="G168" i="2"/>
  <c r="I311" i="2"/>
  <c r="G289" i="2"/>
  <c r="I157" i="2"/>
  <c r="G333" i="2"/>
  <c r="H267" i="2"/>
  <c r="O509" i="2"/>
  <c r="K487" i="2"/>
  <c r="G201" i="2"/>
  <c r="O487" i="2"/>
  <c r="I146" i="2"/>
  <c r="I289" i="2"/>
  <c r="R465" i="2"/>
  <c r="G322" i="2"/>
  <c r="H542" i="2"/>
  <c r="M520" i="2"/>
  <c r="H223" i="2"/>
  <c r="H520" i="2"/>
  <c r="I333" i="2"/>
  <c r="K476" i="2"/>
  <c r="H168" i="2"/>
  <c r="H289" i="2"/>
  <c r="P542" i="2"/>
  <c r="P465" i="2"/>
  <c r="R531" i="2"/>
  <c r="H102" i="2"/>
  <c r="O454" i="2"/>
  <c r="G25" i="2"/>
  <c r="I267" i="2"/>
  <c r="Q454" i="2"/>
  <c r="N542" i="2"/>
  <c r="G344" i="2"/>
  <c r="L476" i="2"/>
  <c r="K531" i="2"/>
  <c r="K443" i="2"/>
  <c r="G278" i="2"/>
  <c r="Q465" i="2"/>
  <c r="G212" i="2"/>
  <c r="H36" i="2"/>
  <c r="H14" i="2"/>
  <c r="P476" i="2"/>
  <c r="J531" i="2"/>
  <c r="G421" i="2"/>
  <c r="I498" i="2"/>
  <c r="H443" i="2"/>
  <c r="G179" i="2"/>
  <c r="G47" i="2"/>
  <c r="H531" i="2"/>
  <c r="H355" i="2"/>
  <c r="G399" i="2"/>
  <c r="J476" i="2"/>
  <c r="H465" i="2"/>
  <c r="H80" i="2"/>
  <c r="G157" i="2"/>
  <c r="H212" i="2"/>
  <c r="H344" i="2"/>
  <c r="I91" i="2"/>
  <c r="I443" i="2"/>
  <c r="Q531" i="2"/>
  <c r="H432" i="2"/>
  <c r="J454" i="2"/>
  <c r="H278" i="2"/>
  <c r="H179" i="2"/>
  <c r="N454" i="2"/>
  <c r="O531" i="2"/>
  <c r="J542" i="2"/>
  <c r="H377" i="2"/>
  <c r="G135" i="2"/>
  <c r="R509" i="2"/>
  <c r="L498" i="2"/>
  <c r="H388" i="2"/>
  <c r="Q487" i="2"/>
  <c r="I454" i="2"/>
  <c r="O476" i="2"/>
  <c r="Q520" i="2"/>
  <c r="N476" i="2"/>
  <c r="O465" i="2"/>
  <c r="G388" i="2"/>
  <c r="I256" i="2"/>
  <c r="I201" i="2"/>
  <c r="K454" i="2"/>
  <c r="Q498" i="2"/>
  <c r="G80" i="2"/>
  <c r="H333" i="2"/>
  <c r="H135" i="2"/>
  <c r="H410" i="2"/>
  <c r="G300" i="2"/>
  <c r="H113" i="2"/>
  <c r="G190" i="2"/>
  <c r="I322" i="2"/>
  <c r="I212" i="2"/>
  <c r="I36" i="2"/>
  <c r="J465" i="2"/>
  <c r="H476" i="2"/>
  <c r="I278" i="2"/>
  <c r="I366" i="2"/>
  <c r="G256" i="2"/>
  <c r="R498" i="2"/>
  <c r="G377" i="2"/>
  <c r="I509" i="2"/>
  <c r="I168" i="2"/>
  <c r="K465" i="2"/>
  <c r="G14" i="2"/>
  <c r="K520" i="2"/>
  <c r="H91" i="2"/>
  <c r="H124" i="2"/>
  <c r="P498" i="2"/>
  <c r="G443" i="2"/>
  <c r="H421" i="2"/>
  <c r="H245" i="2"/>
  <c r="O542" i="2"/>
  <c r="Q443" i="2"/>
  <c r="R454" i="2"/>
  <c r="G454" i="2"/>
  <c r="M465" i="2"/>
  <c r="I47" i="2"/>
  <c r="G542" i="2"/>
  <c r="N498" i="2"/>
  <c r="M531" i="2"/>
  <c r="Q476" i="2"/>
  <c r="H190" i="2"/>
  <c r="H147" i="2"/>
  <c r="L466" i="2"/>
  <c r="I334" i="2"/>
  <c r="G103" i="2"/>
  <c r="I422" i="2"/>
  <c r="H367" i="2"/>
  <c r="I389" i="2"/>
  <c r="H92" i="2"/>
  <c r="P488" i="2"/>
  <c r="G499" i="2"/>
  <c r="G279" i="2"/>
  <c r="H411" i="2"/>
  <c r="N499" i="2"/>
  <c r="L543" i="2"/>
  <c r="G114" i="2"/>
  <c r="N521" i="2"/>
  <c r="G334" i="2"/>
  <c r="K477" i="2"/>
  <c r="I543" i="2"/>
  <c r="G70" i="2"/>
  <c r="G510" i="2"/>
  <c r="H422" i="2"/>
  <c r="G15" i="2"/>
  <c r="G455" i="2"/>
  <c r="G312" i="2"/>
  <c r="G125" i="2"/>
  <c r="H433" i="2"/>
  <c r="I224" i="2"/>
  <c r="H15" i="2"/>
  <c r="R466" i="2"/>
  <c r="H268" i="2"/>
  <c r="I114" i="2"/>
  <c r="H114" i="2"/>
  <c r="I279" i="2"/>
  <c r="H477" i="2"/>
  <c r="M532" i="2"/>
  <c r="J488" i="2"/>
  <c r="I213" i="2"/>
  <c r="G136" i="2"/>
  <c r="H26" i="2"/>
  <c r="I125" i="2"/>
  <c r="I202" i="2"/>
  <c r="I191" i="2"/>
  <c r="N488" i="2"/>
  <c r="I15" i="2"/>
  <c r="G466" i="2"/>
  <c r="P510" i="2"/>
  <c r="L521" i="2"/>
  <c r="G433" i="2"/>
  <c r="G191" i="2"/>
  <c r="K532" i="2"/>
  <c r="I158" i="2"/>
  <c r="H37" i="2"/>
  <c r="I37" i="2"/>
  <c r="M499" i="2"/>
  <c r="G411" i="2"/>
  <c r="M510" i="2"/>
  <c r="H70" i="2"/>
  <c r="G422" i="2"/>
  <c r="H455" i="2"/>
  <c r="H103" i="2"/>
  <c r="H224" i="2"/>
  <c r="P532" i="2"/>
  <c r="G521" i="2"/>
  <c r="N543" i="2"/>
  <c r="G543" i="2"/>
  <c r="P521" i="2"/>
  <c r="Q521" i="2"/>
  <c r="N532" i="2"/>
  <c r="I444" i="2"/>
  <c r="I400" i="2"/>
  <c r="R510" i="2"/>
  <c r="H48" i="2"/>
  <c r="G169" i="2"/>
  <c r="O543" i="2"/>
  <c r="I246" i="2"/>
  <c r="H312" i="2"/>
  <c r="G257" i="2"/>
  <c r="G532" i="2"/>
  <c r="H202" i="2"/>
  <c r="P477" i="2"/>
  <c r="G158" i="2"/>
  <c r="I488" i="2"/>
  <c r="Q477" i="2"/>
  <c r="O532" i="2"/>
  <c r="O499" i="2"/>
  <c r="H345" i="2"/>
  <c r="H180" i="2"/>
  <c r="K543" i="2"/>
  <c r="M466" i="2"/>
  <c r="I180" i="2"/>
  <c r="O521" i="2"/>
  <c r="I169" i="2"/>
  <c r="M543" i="2"/>
  <c r="H169" i="2"/>
  <c r="H136" i="2"/>
  <c r="Q488" i="2"/>
  <c r="M477" i="2"/>
  <c r="I455" i="2"/>
  <c r="I26" i="2"/>
  <c r="G367" i="2"/>
  <c r="G356" i="2"/>
  <c r="G246" i="2"/>
  <c r="G400" i="2"/>
  <c r="I323" i="2"/>
  <c r="J477" i="2"/>
  <c r="H532" i="2"/>
  <c r="I532" i="2"/>
  <c r="I70" i="2"/>
  <c r="R521" i="2"/>
  <c r="O488" i="2"/>
  <c r="I521" i="2"/>
  <c r="G213" i="2"/>
  <c r="G444" i="2"/>
  <c r="I301" i="2"/>
  <c r="K521" i="2"/>
  <c r="H543" i="2"/>
  <c r="H290" i="2"/>
  <c r="G389" i="2"/>
  <c r="O510" i="2"/>
  <c r="K488" i="2"/>
  <c r="H191" i="2"/>
  <c r="I433" i="2"/>
  <c r="R488" i="2"/>
  <c r="I499" i="2"/>
  <c r="H257" i="2"/>
  <c r="H158" i="2"/>
  <c r="H235" i="2"/>
  <c r="G345" i="2"/>
  <c r="N466" i="2"/>
  <c r="M521" i="2"/>
  <c r="G180" i="2"/>
  <c r="Q532" i="2"/>
  <c r="P499" i="2"/>
  <c r="I257" i="2"/>
  <c r="G477" i="2"/>
  <c r="G488" i="2"/>
  <c r="H444" i="2"/>
  <c r="P466" i="2"/>
  <c r="J510" i="2"/>
  <c r="H323" i="2"/>
  <c r="I235" i="2"/>
  <c r="K466" i="2"/>
  <c r="H81" i="2"/>
  <c r="G48" i="2"/>
  <c r="I477" i="2"/>
  <c r="O477" i="2"/>
  <c r="K499" i="2"/>
  <c r="I81" i="2"/>
  <c r="I510" i="2"/>
  <c r="Q543" i="2"/>
  <c r="P543" i="2"/>
  <c r="J499" i="2"/>
  <c r="R499" i="2"/>
  <c r="H466" i="2"/>
  <c r="G37" i="2"/>
  <c r="I312" i="2"/>
  <c r="N477" i="2"/>
  <c r="G268" i="2"/>
  <c r="L477" i="2"/>
  <c r="H510" i="2"/>
  <c r="Q510" i="2"/>
  <c r="I356" i="2"/>
  <c r="H213" i="2"/>
  <c r="H499" i="2"/>
  <c r="R477" i="2"/>
  <c r="H488" i="2"/>
  <c r="L488" i="2"/>
  <c r="G202" i="2"/>
  <c r="H389" i="2"/>
  <c r="G290" i="2"/>
  <c r="G26" i="2"/>
  <c r="O466" i="2"/>
  <c r="M488" i="2"/>
  <c r="I411" i="2"/>
  <c r="I136" i="2"/>
  <c r="H400" i="2"/>
  <c r="H125" i="2"/>
  <c r="H521" i="2"/>
  <c r="H301" i="2"/>
  <c r="G224" i="2"/>
  <c r="N510" i="2"/>
  <c r="I48" i="2"/>
  <c r="J466" i="2"/>
  <c r="Q499" i="2"/>
  <c r="K510" i="2"/>
  <c r="G81" i="2"/>
  <c r="I268" i="2"/>
  <c r="I290" i="2"/>
  <c r="I378" i="2"/>
  <c r="G301" i="2"/>
  <c r="I367" i="2"/>
  <c r="R532" i="2"/>
  <c r="J543" i="2"/>
  <c r="G235" i="2"/>
  <c r="H378" i="2"/>
  <c r="L532" i="2"/>
  <c r="L510" i="2"/>
  <c r="I92" i="2"/>
  <c r="L499" i="2"/>
  <c r="G378" i="2"/>
  <c r="Q466" i="2"/>
  <c r="I466" i="2"/>
  <c r="I147" i="2"/>
  <c r="H279" i="2"/>
  <c r="G92" i="2"/>
  <c r="I103" i="2"/>
  <c r="G323" i="2"/>
  <c r="H356" i="2"/>
  <c r="H246" i="2"/>
  <c r="R543" i="2"/>
  <c r="I345" i="2"/>
  <c r="J532" i="2"/>
  <c r="G147" i="2"/>
  <c r="J521" i="2"/>
  <c r="H334" i="2"/>
  <c r="Q467" i="2"/>
  <c r="K544" i="2"/>
  <c r="I269" i="2"/>
  <c r="I247" i="2"/>
  <c r="G335" i="2"/>
  <c r="N489" i="2"/>
  <c r="Q478" i="2"/>
  <c r="H71" i="2"/>
  <c r="N500" i="2"/>
  <c r="H247" i="2"/>
  <c r="H159" i="2"/>
  <c r="L533" i="2"/>
  <c r="M478" i="2"/>
  <c r="I258" i="2"/>
  <c r="O511" i="2"/>
  <c r="H82" i="2"/>
  <c r="P489" i="2"/>
  <c r="I511" i="2"/>
  <c r="H115" i="2"/>
  <c r="I203" i="2"/>
  <c r="O489" i="2"/>
  <c r="I115" i="2"/>
  <c r="G214" i="2"/>
  <c r="G170" i="2"/>
  <c r="H401" i="2"/>
  <c r="I104" i="2"/>
  <c r="G302" i="2"/>
  <c r="G478" i="2"/>
  <c r="G445" i="2"/>
  <c r="G423" i="2"/>
  <c r="H302" i="2"/>
  <c r="I522" i="2"/>
  <c r="I170" i="2"/>
  <c r="H148" i="2"/>
  <c r="G258" i="2"/>
  <c r="G269" i="2"/>
  <c r="L511" i="2"/>
  <c r="L500" i="2"/>
  <c r="G511" i="2"/>
  <c r="G148" i="2"/>
  <c r="G544" i="2"/>
  <c r="G368" i="2"/>
  <c r="G137" i="2"/>
  <c r="N478" i="2"/>
  <c r="H313" i="2"/>
  <c r="H225" i="2"/>
  <c r="H434" i="2"/>
  <c r="H368" i="2"/>
  <c r="I192" i="2"/>
  <c r="G126" i="2"/>
  <c r="I313" i="2"/>
  <c r="G181" i="2"/>
  <c r="G82" i="2"/>
  <c r="G522" i="2"/>
  <c r="I148" i="2"/>
  <c r="J500" i="2"/>
  <c r="I38" i="2"/>
  <c r="R489" i="2"/>
  <c r="O500" i="2"/>
  <c r="J478" i="2"/>
  <c r="I500" i="2"/>
  <c r="R467" i="2"/>
  <c r="I478" i="2"/>
  <c r="I236" i="2"/>
  <c r="L489" i="2"/>
  <c r="G104" i="2"/>
  <c r="G203" i="2"/>
  <c r="H181" i="2"/>
  <c r="I335" i="2"/>
  <c r="G38" i="2"/>
  <c r="L522" i="2"/>
  <c r="H126" i="2"/>
  <c r="I467" i="2"/>
  <c r="N511" i="2"/>
  <c r="I434" i="2"/>
  <c r="H137" i="2"/>
  <c r="H379" i="2"/>
  <c r="H467" i="2"/>
  <c r="I401" i="2"/>
  <c r="H412" i="2"/>
  <c r="I379" i="2"/>
  <c r="I126" i="2"/>
  <c r="M511" i="2"/>
  <c r="I390" i="2"/>
  <c r="H511" i="2"/>
  <c r="P500" i="2"/>
  <c r="G71" i="2"/>
  <c r="H236" i="2"/>
  <c r="I346" i="2"/>
  <c r="J544" i="2"/>
  <c r="G27" i="2"/>
  <c r="H49" i="2"/>
  <c r="G291" i="2"/>
  <c r="G379" i="2"/>
  <c r="H27" i="2"/>
  <c r="H335" i="2"/>
  <c r="H93" i="2"/>
  <c r="K533" i="2"/>
  <c r="H500" i="2"/>
  <c r="G412" i="2"/>
  <c r="H390" i="2"/>
  <c r="I16" i="2"/>
  <c r="H357" i="2"/>
  <c r="H478" i="2"/>
  <c r="I533" i="2"/>
  <c r="G489" i="2"/>
  <c r="I82" i="2"/>
  <c r="R533" i="2"/>
  <c r="I280" i="2"/>
  <c r="I49" i="2"/>
  <c r="R511" i="2"/>
  <c r="H214" i="2"/>
  <c r="R544" i="2"/>
  <c r="Q511" i="2"/>
  <c r="M544" i="2"/>
  <c r="R522" i="2"/>
  <c r="H544" i="2"/>
  <c r="P467" i="2"/>
  <c r="I137" i="2"/>
  <c r="Q544" i="2"/>
  <c r="G280" i="2"/>
  <c r="Q533" i="2"/>
  <c r="H291" i="2"/>
  <c r="Q489" i="2"/>
  <c r="H489" i="2"/>
  <c r="P533" i="2"/>
  <c r="G467" i="2"/>
  <c r="G192" i="2"/>
  <c r="M489" i="2"/>
  <c r="M533" i="2"/>
  <c r="K500" i="2"/>
  <c r="G16" i="2"/>
  <c r="G159" i="2"/>
  <c r="G236" i="2"/>
  <c r="I291" i="2"/>
  <c r="G313" i="2"/>
  <c r="J533" i="2"/>
  <c r="G456" i="2"/>
  <c r="J489" i="2"/>
  <c r="H104" i="2"/>
  <c r="G115" i="2"/>
  <c r="G357" i="2"/>
  <c r="K489" i="2"/>
  <c r="I445" i="2"/>
  <c r="O478" i="2"/>
  <c r="P511" i="2"/>
  <c r="G390" i="2"/>
  <c r="G401" i="2"/>
  <c r="Q500" i="2"/>
  <c r="I412" i="2"/>
  <c r="O522" i="2"/>
  <c r="G247" i="2"/>
  <c r="H522" i="2"/>
  <c r="H533" i="2"/>
  <c r="P478" i="2"/>
  <c r="G533" i="2"/>
  <c r="H324" i="2"/>
  <c r="O467" i="2"/>
  <c r="H346" i="2"/>
  <c r="I214" i="2"/>
  <c r="O533" i="2"/>
  <c r="G225" i="2"/>
  <c r="J511" i="2"/>
  <c r="N533" i="2"/>
  <c r="H170" i="2"/>
  <c r="H280" i="2"/>
  <c r="I93" i="2"/>
  <c r="I423" i="2"/>
  <c r="I456" i="2"/>
  <c r="H445" i="2"/>
  <c r="H38" i="2"/>
  <c r="H258" i="2"/>
  <c r="R478" i="2"/>
  <c r="I159" i="2"/>
  <c r="O544" i="2"/>
  <c r="N522" i="2"/>
  <c r="P522" i="2"/>
  <c r="I225" i="2"/>
  <c r="H423" i="2"/>
  <c r="I181" i="2"/>
  <c r="H456" i="2"/>
  <c r="K522" i="2"/>
  <c r="L544" i="2"/>
  <c r="N544" i="2"/>
  <c r="Q522" i="2"/>
  <c r="I544" i="2"/>
  <c r="G93" i="2"/>
  <c r="I71" i="2"/>
  <c r="K478" i="2"/>
  <c r="H269" i="2"/>
  <c r="I302" i="2"/>
  <c r="M500" i="2"/>
  <c r="J522" i="2"/>
  <c r="R500" i="2"/>
  <c r="I489" i="2"/>
  <c r="G49" i="2"/>
  <c r="L478" i="2"/>
  <c r="I27" i="2"/>
  <c r="H192" i="2"/>
  <c r="I368" i="2"/>
  <c r="G434" i="2"/>
  <c r="G346" i="2"/>
  <c r="N467" i="2"/>
  <c r="G500" i="2"/>
  <c r="P544" i="2"/>
  <c r="H203" i="2"/>
  <c r="G324" i="2"/>
  <c r="I324" i="2"/>
  <c r="M522" i="2"/>
  <c r="I357" i="2"/>
  <c r="K511" i="2"/>
  <c r="H16" i="2"/>
  <c r="M479" i="2"/>
  <c r="G39" i="2"/>
  <c r="G72" i="2"/>
  <c r="I435" i="2"/>
  <c r="H259" i="2"/>
  <c r="N501" i="2"/>
  <c r="I545" i="2"/>
  <c r="H468" i="2"/>
  <c r="R512" i="2"/>
  <c r="G28" i="2"/>
  <c r="I259" i="2"/>
  <c r="O534" i="2"/>
  <c r="H435" i="2"/>
  <c r="H281" i="2"/>
  <c r="Q545" i="2"/>
  <c r="L490" i="2"/>
  <c r="I204" i="2"/>
  <c r="G116" i="2"/>
  <c r="I347" i="2"/>
  <c r="G171" i="2"/>
  <c r="H94" i="2"/>
  <c r="G237" i="2"/>
  <c r="G215" i="2"/>
  <c r="I314" i="2"/>
  <c r="J545" i="2"/>
  <c r="I490" i="2"/>
  <c r="I358" i="2"/>
  <c r="G105" i="2"/>
  <c r="H160" i="2"/>
  <c r="H182" i="2"/>
  <c r="G17" i="2"/>
  <c r="M501" i="2"/>
  <c r="H39" i="2"/>
  <c r="I534" i="2"/>
  <c r="H479" i="2"/>
  <c r="O545" i="2"/>
  <c r="H138" i="2"/>
  <c r="H303" i="2"/>
  <c r="J479" i="2"/>
  <c r="H523" i="2"/>
  <c r="R490" i="2"/>
  <c r="J534" i="2"/>
  <c r="I116" i="2"/>
  <c r="I270" i="2"/>
  <c r="P490" i="2"/>
  <c r="H215" i="2"/>
  <c r="I215" i="2"/>
  <c r="H17" i="2"/>
  <c r="H72" i="2"/>
  <c r="H116" i="2"/>
  <c r="I105" i="2"/>
  <c r="I39" i="2"/>
  <c r="G479" i="2"/>
  <c r="H149" i="2"/>
  <c r="N545" i="2"/>
  <c r="H512" i="2"/>
  <c r="G149" i="2"/>
  <c r="K523" i="2"/>
  <c r="I369" i="2"/>
  <c r="L534" i="2"/>
  <c r="R534" i="2"/>
  <c r="G446" i="2"/>
  <c r="G83" i="2"/>
  <c r="H105" i="2"/>
  <c r="G303" i="2"/>
  <c r="I303" i="2"/>
  <c r="M490" i="2"/>
  <c r="I160" i="2"/>
  <c r="G358" i="2"/>
  <c r="M545" i="2"/>
  <c r="K534" i="2"/>
  <c r="I171" i="2"/>
  <c r="G50" i="2"/>
  <c r="I446" i="2"/>
  <c r="I94" i="2"/>
  <c r="G545" i="2"/>
  <c r="M512" i="2"/>
  <c r="P534" i="2"/>
  <c r="L545" i="2"/>
  <c r="K479" i="2"/>
  <c r="L523" i="2"/>
  <c r="P523" i="2"/>
  <c r="N490" i="2"/>
  <c r="H369" i="2"/>
  <c r="H446" i="2"/>
  <c r="G391" i="2"/>
  <c r="I413" i="2"/>
  <c r="G347" i="2"/>
  <c r="H347" i="2"/>
  <c r="J512" i="2"/>
  <c r="G501" i="2"/>
  <c r="P512" i="2"/>
  <c r="O523" i="2"/>
  <c r="H127" i="2"/>
  <c r="M534" i="2"/>
  <c r="I83" i="2"/>
  <c r="H83" i="2"/>
  <c r="O512" i="2"/>
  <c r="G204" i="2"/>
  <c r="H534" i="2"/>
  <c r="G314" i="2"/>
  <c r="K545" i="2"/>
  <c r="G369" i="2"/>
  <c r="I127" i="2"/>
  <c r="Q501" i="2"/>
  <c r="H358" i="2"/>
  <c r="H292" i="2"/>
  <c r="H193" i="2"/>
  <c r="I512" i="2"/>
  <c r="L501" i="2"/>
  <c r="H457" i="2"/>
  <c r="H391" i="2"/>
  <c r="H336" i="2"/>
  <c r="G325" i="2"/>
  <c r="G160" i="2"/>
  <c r="I50" i="2"/>
  <c r="H402" i="2"/>
  <c r="R545" i="2"/>
  <c r="I182" i="2"/>
  <c r="G402" i="2"/>
  <c r="O490" i="2"/>
  <c r="H314" i="2"/>
  <c r="G138" i="2"/>
  <c r="Q490" i="2"/>
  <c r="G292" i="2"/>
  <c r="H204" i="2"/>
  <c r="I479" i="2"/>
  <c r="I523" i="2"/>
  <c r="I468" i="2"/>
  <c r="I193" i="2"/>
  <c r="G424" i="2"/>
  <c r="G534" i="2"/>
  <c r="O501" i="2"/>
  <c r="I325" i="2"/>
  <c r="P501" i="2"/>
  <c r="I336" i="2"/>
  <c r="H226" i="2"/>
  <c r="N512" i="2"/>
  <c r="I237" i="2"/>
  <c r="I28" i="2"/>
  <c r="G226" i="2"/>
  <c r="H28" i="2"/>
  <c r="G193" i="2"/>
  <c r="I138" i="2"/>
  <c r="G182" i="2"/>
  <c r="J523" i="2"/>
  <c r="I226" i="2"/>
  <c r="H237" i="2"/>
  <c r="G281" i="2"/>
  <c r="O479" i="2"/>
  <c r="H325" i="2"/>
  <c r="H50" i="2"/>
  <c r="G413" i="2"/>
  <c r="I402" i="2"/>
  <c r="M523" i="2"/>
  <c r="G380" i="2"/>
  <c r="G512" i="2"/>
  <c r="I281" i="2"/>
  <c r="H545" i="2"/>
  <c r="I72" i="2"/>
  <c r="H501" i="2"/>
  <c r="G94" i="2"/>
  <c r="G259" i="2"/>
  <c r="I457" i="2"/>
  <c r="H380" i="2"/>
  <c r="G490" i="2"/>
  <c r="N523" i="2"/>
  <c r="J490" i="2"/>
  <c r="I248" i="2"/>
  <c r="I149" i="2"/>
  <c r="G248" i="2"/>
  <c r="K512" i="2"/>
  <c r="G468" i="2"/>
  <c r="H270" i="2"/>
  <c r="H413" i="2"/>
  <c r="R523" i="2"/>
  <c r="N534" i="2"/>
  <c r="I391" i="2"/>
  <c r="P545" i="2"/>
  <c r="H171" i="2"/>
  <c r="I17" i="2"/>
  <c r="R501" i="2"/>
  <c r="G270" i="2"/>
  <c r="Q479" i="2"/>
  <c r="G336" i="2"/>
  <c r="H490" i="2"/>
  <c r="Q512" i="2"/>
  <c r="G457" i="2"/>
  <c r="L512" i="2"/>
  <c r="G523" i="2"/>
  <c r="I292" i="2"/>
  <c r="I424" i="2"/>
  <c r="K501" i="2"/>
  <c r="K490" i="2"/>
  <c r="I501" i="2"/>
  <c r="H248" i="2"/>
  <c r="Q534" i="2"/>
  <c r="I380" i="2"/>
  <c r="G127" i="2"/>
  <c r="G435" i="2"/>
  <c r="H424" i="2"/>
  <c r="J501" i="2"/>
  <c r="Q523" i="2"/>
  <c r="P491" i="2"/>
  <c r="H40" i="2"/>
  <c r="K524" i="2"/>
  <c r="I95" i="2"/>
  <c r="G425" i="2"/>
  <c r="I315" i="2"/>
  <c r="O502" i="2"/>
  <c r="N546" i="2"/>
  <c r="I194" i="2"/>
  <c r="J513" i="2"/>
  <c r="M535" i="2"/>
  <c r="I260" i="2"/>
  <c r="H260" i="2"/>
  <c r="G524" i="2"/>
  <c r="H304" i="2"/>
  <c r="J491" i="2"/>
  <c r="H326" i="2"/>
  <c r="H227" i="2"/>
  <c r="G84" i="2"/>
  <c r="I392" i="2"/>
  <c r="G348" i="2"/>
  <c r="G150" i="2"/>
  <c r="I117" i="2"/>
  <c r="P502" i="2"/>
  <c r="H535" i="2"/>
  <c r="G326" i="2"/>
  <c r="H293" i="2"/>
  <c r="H502" i="2"/>
  <c r="G458" i="2"/>
  <c r="G293" i="2"/>
  <c r="G95" i="2"/>
  <c r="G128" i="2"/>
  <c r="H106" i="2"/>
  <c r="H436" i="2"/>
  <c r="R535" i="2"/>
  <c r="I128" i="2"/>
  <c r="G227" i="2"/>
  <c r="G315" i="2"/>
  <c r="Q513" i="2"/>
  <c r="N535" i="2"/>
  <c r="H381" i="2"/>
  <c r="H469" i="2"/>
  <c r="I337" i="2"/>
  <c r="J524" i="2"/>
  <c r="G260" i="2"/>
  <c r="K546" i="2"/>
  <c r="H73" i="2"/>
  <c r="H370" i="2"/>
  <c r="J502" i="2"/>
  <c r="I51" i="2"/>
  <c r="G172" i="2"/>
  <c r="H359" i="2"/>
  <c r="H18" i="2"/>
  <c r="H458" i="2"/>
  <c r="I139" i="2"/>
  <c r="P546" i="2"/>
  <c r="G271" i="2"/>
  <c r="G535" i="2"/>
  <c r="G194" i="2"/>
  <c r="O513" i="2"/>
  <c r="I40" i="2"/>
  <c r="I205" i="2"/>
  <c r="G414" i="2"/>
  <c r="G436" i="2"/>
  <c r="H128" i="2"/>
  <c r="N513" i="2"/>
  <c r="I414" i="2"/>
  <c r="I227" i="2"/>
  <c r="H513" i="2"/>
  <c r="I359" i="2"/>
  <c r="H491" i="2"/>
  <c r="Q502" i="2"/>
  <c r="I348" i="2"/>
  <c r="Q535" i="2"/>
  <c r="G403" i="2"/>
  <c r="R513" i="2"/>
  <c r="I447" i="2"/>
  <c r="H95" i="2"/>
  <c r="H447" i="2"/>
  <c r="G392" i="2"/>
  <c r="I370" i="2"/>
  <c r="H194" i="2"/>
  <c r="H348" i="2"/>
  <c r="I502" i="2"/>
  <c r="H392" i="2"/>
  <c r="O535" i="2"/>
  <c r="J535" i="2"/>
  <c r="K513" i="2"/>
  <c r="G359" i="2"/>
  <c r="G139" i="2"/>
  <c r="I249" i="2"/>
  <c r="O524" i="2"/>
  <c r="G381" i="2"/>
  <c r="N524" i="2"/>
  <c r="I403" i="2"/>
  <c r="P524" i="2"/>
  <c r="H183" i="2"/>
  <c r="G370" i="2"/>
  <c r="I535" i="2"/>
  <c r="G161" i="2"/>
  <c r="I106" i="2"/>
  <c r="I29" i="2"/>
  <c r="M513" i="2"/>
  <c r="M502" i="2"/>
  <c r="H216" i="2"/>
  <c r="O491" i="2"/>
  <c r="G480" i="2"/>
  <c r="R546" i="2"/>
  <c r="K502" i="2"/>
  <c r="G40" i="2"/>
  <c r="G491" i="2"/>
  <c r="I73" i="2"/>
  <c r="Q546" i="2"/>
  <c r="L546" i="2"/>
  <c r="P535" i="2"/>
  <c r="G304" i="2"/>
  <c r="G249" i="2"/>
  <c r="H139" i="2"/>
  <c r="H172" i="2"/>
  <c r="I172" i="2"/>
  <c r="I513" i="2"/>
  <c r="H425" i="2"/>
  <c r="I304" i="2"/>
  <c r="I469" i="2"/>
  <c r="I18" i="2"/>
  <c r="H249" i="2"/>
  <c r="R524" i="2"/>
  <c r="K535" i="2"/>
  <c r="H150" i="2"/>
  <c r="G282" i="2"/>
  <c r="I183" i="2"/>
  <c r="I524" i="2"/>
  <c r="I150" i="2"/>
  <c r="G117" i="2"/>
  <c r="L513" i="2"/>
  <c r="I491" i="2"/>
  <c r="I271" i="2"/>
  <c r="H414" i="2"/>
  <c r="Q524" i="2"/>
  <c r="I326" i="2"/>
  <c r="G469" i="2"/>
  <c r="H282" i="2"/>
  <c r="H117" i="2"/>
  <c r="M524" i="2"/>
  <c r="H84" i="2"/>
  <c r="I425" i="2"/>
  <c r="G51" i="2"/>
  <c r="H29" i="2"/>
  <c r="L502" i="2"/>
  <c r="G513" i="2"/>
  <c r="M546" i="2"/>
  <c r="G183" i="2"/>
  <c r="J546" i="2"/>
  <c r="H524" i="2"/>
  <c r="H205" i="2"/>
  <c r="R502" i="2"/>
  <c r="G238" i="2"/>
  <c r="I546" i="2"/>
  <c r="G18" i="2"/>
  <c r="I436" i="2"/>
  <c r="I282" i="2"/>
  <c r="H480" i="2"/>
  <c r="G216" i="2"/>
  <c r="G502" i="2"/>
  <c r="I293" i="2"/>
  <c r="G29" i="2"/>
  <c r="I161" i="2"/>
  <c r="I381" i="2"/>
  <c r="G546" i="2"/>
  <c r="O546" i="2"/>
  <c r="H51" i="2"/>
  <c r="L524" i="2"/>
  <c r="G337" i="2"/>
  <c r="I238" i="2"/>
  <c r="I84" i="2"/>
  <c r="I480" i="2"/>
  <c r="L535" i="2"/>
  <c r="I216" i="2"/>
  <c r="G73" i="2"/>
  <c r="G447" i="2"/>
  <c r="H238" i="2"/>
  <c r="I458" i="2"/>
  <c r="N502" i="2"/>
  <c r="H271" i="2"/>
  <c r="P513" i="2"/>
  <c r="G106" i="2"/>
  <c r="H546" i="2"/>
  <c r="H161" i="2"/>
  <c r="G205" i="2"/>
  <c r="H403" i="2"/>
  <c r="H337" i="2"/>
  <c r="H315" i="2"/>
  <c r="P494" i="2"/>
  <c r="I439" i="2"/>
  <c r="I538" i="2"/>
  <c r="G285" i="2"/>
  <c r="G120" i="2"/>
  <c r="G439" i="2"/>
  <c r="G131" i="2"/>
  <c r="H340" i="2"/>
  <c r="I252" i="2"/>
  <c r="H307" i="2"/>
  <c r="L505" i="2"/>
  <c r="G230" i="2"/>
  <c r="I296" i="2"/>
  <c r="Q538" i="2"/>
  <c r="G296" i="2"/>
  <c r="I120" i="2"/>
  <c r="H417" i="2"/>
  <c r="H153" i="2"/>
  <c r="H406" i="2"/>
  <c r="H76" i="2"/>
  <c r="G461" i="2"/>
  <c r="H87" i="2"/>
  <c r="L516" i="2"/>
  <c r="G142" i="2"/>
  <c r="G362" i="2"/>
  <c r="M538" i="2"/>
  <c r="I472" i="2"/>
  <c r="H252" i="2"/>
  <c r="I527" i="2"/>
  <c r="O516" i="2"/>
  <c r="I307" i="2"/>
  <c r="I428" i="2"/>
  <c r="H175" i="2"/>
  <c r="H505" i="2"/>
  <c r="I263" i="2"/>
  <c r="G263" i="2"/>
  <c r="I329" i="2"/>
  <c r="I10" i="2"/>
  <c r="I406" i="2"/>
  <c r="I230" i="2"/>
  <c r="I109" i="2"/>
  <c r="P538" i="2"/>
  <c r="H296" i="2"/>
  <c r="M516" i="2"/>
  <c r="R516" i="2"/>
  <c r="H65" i="2"/>
  <c r="I483" i="2"/>
  <c r="I384" i="2"/>
  <c r="I197" i="2"/>
  <c r="I219" i="2"/>
  <c r="Q505" i="2"/>
  <c r="I186" i="2"/>
  <c r="I87" i="2"/>
  <c r="O538" i="2"/>
  <c r="G472" i="2"/>
  <c r="I175" i="2"/>
  <c r="H263" i="2"/>
  <c r="G164" i="2"/>
  <c r="G153" i="2"/>
  <c r="I318" i="2"/>
  <c r="I417" i="2"/>
  <c r="G351" i="2"/>
  <c r="I153" i="2"/>
  <c r="G340" i="2"/>
  <c r="L538" i="2"/>
  <c r="G428" i="2"/>
  <c r="I241" i="2"/>
  <c r="G450" i="2"/>
  <c r="G76" i="2"/>
  <c r="H131" i="2"/>
  <c r="I43" i="2"/>
  <c r="H351" i="2"/>
  <c r="G186" i="2"/>
  <c r="I65" i="2"/>
  <c r="H197" i="2"/>
  <c r="I142" i="2"/>
  <c r="H230" i="2"/>
  <c r="G252" i="2"/>
  <c r="H516" i="2"/>
  <c r="J527" i="2"/>
  <c r="L527" i="2"/>
  <c r="G384" i="2"/>
  <c r="G21" i="2"/>
  <c r="N538" i="2"/>
  <c r="R494" i="2"/>
  <c r="K538" i="2"/>
  <c r="H241" i="2"/>
  <c r="J494" i="2"/>
  <c r="H362" i="2"/>
  <c r="G373" i="2"/>
  <c r="H219" i="2"/>
  <c r="G494" i="2"/>
  <c r="I373" i="2"/>
  <c r="H428" i="2"/>
  <c r="O527" i="2"/>
  <c r="P527" i="2"/>
  <c r="O505" i="2"/>
  <c r="G98" i="2"/>
  <c r="G505" i="2"/>
  <c r="H494" i="2"/>
  <c r="H142" i="2"/>
  <c r="H439" i="2"/>
  <c r="H21" i="2"/>
  <c r="G65" i="2"/>
  <c r="G307" i="2"/>
  <c r="I395" i="2"/>
  <c r="I450" i="2"/>
  <c r="H373" i="2"/>
  <c r="G406" i="2"/>
  <c r="N527" i="2"/>
  <c r="H461" i="2"/>
  <c r="N516" i="2"/>
  <c r="R538" i="2"/>
  <c r="K527" i="2"/>
  <c r="H384" i="2"/>
  <c r="G175" i="2"/>
  <c r="H472" i="2"/>
  <c r="H274" i="2"/>
  <c r="G527" i="2"/>
  <c r="K516" i="2"/>
  <c r="H98" i="2"/>
  <c r="I461" i="2"/>
  <c r="J505" i="2"/>
  <c r="G43" i="2"/>
  <c r="G109" i="2"/>
  <c r="O494" i="2"/>
  <c r="H208" i="2"/>
  <c r="H538" i="2"/>
  <c r="H120" i="2"/>
  <c r="G417" i="2"/>
  <c r="I362" i="2"/>
  <c r="R505" i="2"/>
  <c r="I21" i="2"/>
  <c r="I285" i="2"/>
  <c r="Q527" i="2"/>
  <c r="I494" i="2"/>
  <c r="H186" i="2"/>
  <c r="H450" i="2"/>
  <c r="H285" i="2"/>
  <c r="I98" i="2"/>
  <c r="H43" i="2"/>
  <c r="J538" i="2"/>
  <c r="G219" i="2"/>
  <c r="I131" i="2"/>
  <c r="I351" i="2"/>
  <c r="I208" i="2"/>
  <c r="G395" i="2"/>
  <c r="M527" i="2"/>
  <c r="N505" i="2"/>
  <c r="H527" i="2"/>
  <c r="J516" i="2"/>
  <c r="I32" i="2"/>
  <c r="R527" i="2"/>
  <c r="G516" i="2"/>
  <c r="K505" i="2"/>
  <c r="I274" i="2"/>
  <c r="G329" i="2"/>
  <c r="Q516" i="2"/>
  <c r="H318" i="2"/>
  <c r="H164" i="2"/>
  <c r="M505" i="2"/>
  <c r="I164" i="2"/>
  <c r="G318" i="2"/>
  <c r="I340" i="2"/>
  <c r="H32" i="2"/>
  <c r="G87" i="2"/>
  <c r="G208" i="2"/>
  <c r="G197" i="2"/>
  <c r="I505" i="2"/>
  <c r="G274" i="2"/>
  <c r="H109" i="2"/>
  <c r="P516" i="2"/>
  <c r="G32" i="2"/>
  <c r="G241" i="2"/>
  <c r="I516" i="2"/>
  <c r="G538" i="2"/>
  <c r="H329" i="2"/>
  <c r="I76" i="2"/>
  <c r="P505" i="2"/>
  <c r="H395" i="2"/>
  <c r="H483" i="2"/>
  <c r="G483" i="2"/>
  <c r="R539" i="2"/>
  <c r="S539" i="2" s="1"/>
  <c r="N539" i="2"/>
  <c r="I275" i="2"/>
  <c r="H110" i="2"/>
  <c r="O517" i="2"/>
  <c r="H528" i="2"/>
  <c r="H66" i="2"/>
  <c r="K517" i="2"/>
  <c r="N528" i="2"/>
  <c r="I198" i="2"/>
  <c r="G506" i="2"/>
  <c r="G363" i="2"/>
  <c r="H429" i="2"/>
  <c r="J528" i="2"/>
  <c r="H308" i="2"/>
  <c r="I539" i="2"/>
  <c r="G308" i="2"/>
  <c r="G418" i="2"/>
  <c r="K539" i="2"/>
  <c r="I154" i="2"/>
  <c r="P517" i="2"/>
  <c r="G451" i="2"/>
  <c r="G132" i="2"/>
  <c r="I440" i="2"/>
  <c r="G253" i="2"/>
  <c r="H297" i="2"/>
  <c r="G385" i="2"/>
  <c r="I88" i="2"/>
  <c r="I121" i="2"/>
  <c r="I473" i="2"/>
  <c r="G209" i="2"/>
  <c r="H396" i="2"/>
  <c r="H220" i="2"/>
  <c r="H539" i="2"/>
  <c r="H462" i="2"/>
  <c r="H385" i="2"/>
  <c r="G242" i="2"/>
  <c r="I418" i="2"/>
  <c r="H231" i="2"/>
  <c r="G341" i="2"/>
  <c r="I374" i="2"/>
  <c r="H44" i="2"/>
  <c r="J517" i="2"/>
  <c r="J539" i="2"/>
  <c r="H495" i="2"/>
  <c r="H374" i="2"/>
  <c r="I99" i="2"/>
  <c r="H11" i="2"/>
  <c r="G121" i="2"/>
  <c r="L517" i="2"/>
  <c r="H88" i="2"/>
  <c r="I231" i="2"/>
  <c r="H176" i="2"/>
  <c r="G33" i="2"/>
  <c r="H418" i="2"/>
  <c r="Q517" i="2"/>
  <c r="G198" i="2"/>
  <c r="H341" i="2"/>
  <c r="Q539" i="2"/>
  <c r="I341" i="2"/>
  <c r="I264" i="2"/>
  <c r="I209" i="2"/>
  <c r="G286" i="2"/>
  <c r="G462" i="2"/>
  <c r="Q528" i="2"/>
  <c r="I429" i="2"/>
  <c r="I187" i="2"/>
  <c r="I143" i="2"/>
  <c r="G330" i="2"/>
  <c r="O539" i="2"/>
  <c r="G165" i="2"/>
  <c r="H363" i="2"/>
  <c r="I22" i="2"/>
  <c r="G396" i="2"/>
  <c r="I44" i="2"/>
  <c r="H77" i="2"/>
  <c r="I77" i="2"/>
  <c r="H451" i="2"/>
  <c r="H440" i="2"/>
  <c r="I517" i="2"/>
  <c r="I132" i="2"/>
  <c r="G264" i="2"/>
  <c r="G429" i="2"/>
  <c r="P528" i="2"/>
  <c r="R517" i="2"/>
  <c r="S517" i="2" s="1"/>
  <c r="I407" i="2"/>
  <c r="H209" i="2"/>
  <c r="H517" i="2"/>
  <c r="I451" i="2"/>
  <c r="I484" i="2"/>
  <c r="N517" i="2"/>
  <c r="I176" i="2"/>
  <c r="H473" i="2"/>
  <c r="G220" i="2"/>
  <c r="M539" i="2"/>
  <c r="H330" i="2"/>
  <c r="G44" i="2"/>
  <c r="I11" i="2"/>
  <c r="H275" i="2"/>
  <c r="G231" i="2"/>
  <c r="I385" i="2"/>
  <c r="H99" i="2"/>
  <c r="K528" i="2"/>
  <c r="G143" i="2"/>
  <c r="H286" i="2"/>
  <c r="H154" i="2"/>
  <c r="I506" i="2"/>
  <c r="I110" i="2"/>
  <c r="G88" i="2"/>
  <c r="M528" i="2"/>
  <c r="G11" i="2"/>
  <c r="M517" i="2"/>
  <c r="G407" i="2"/>
  <c r="H253" i="2"/>
  <c r="G297" i="2"/>
  <c r="I66" i="2"/>
  <c r="H187" i="2"/>
  <c r="H121" i="2"/>
  <c r="L539" i="2"/>
  <c r="G99" i="2"/>
  <c r="I242" i="2"/>
  <c r="L528" i="2"/>
  <c r="I352" i="2"/>
  <c r="G319" i="2"/>
  <c r="H22" i="2"/>
  <c r="H242" i="2"/>
  <c r="G22" i="2"/>
  <c r="G176" i="2"/>
  <c r="H132" i="2"/>
  <c r="G374" i="2"/>
  <c r="G275" i="2"/>
  <c r="H319" i="2"/>
  <c r="G110" i="2"/>
  <c r="I495" i="2"/>
  <c r="G187" i="2"/>
  <c r="G154" i="2"/>
  <c r="H407" i="2"/>
  <c r="H143" i="2"/>
  <c r="G77" i="2"/>
  <c r="I308" i="2"/>
  <c r="H33" i="2"/>
  <c r="I528" i="2"/>
  <c r="G495" i="2"/>
  <c r="G473" i="2"/>
  <c r="I363" i="2"/>
  <c r="I319" i="2"/>
  <c r="G528" i="2"/>
  <c r="G66" i="2"/>
  <c r="G517" i="2"/>
  <c r="P539" i="2"/>
  <c r="I286" i="2"/>
  <c r="H264" i="2"/>
  <c r="I33" i="2"/>
  <c r="I220" i="2"/>
  <c r="G539" i="2"/>
  <c r="G440" i="2"/>
  <c r="I462" i="2"/>
  <c r="R528" i="2"/>
  <c r="S528" i="2" s="1"/>
  <c r="H165" i="2"/>
  <c r="H352" i="2"/>
  <c r="O528" i="2"/>
  <c r="I253" i="2"/>
  <c r="H484" i="2"/>
  <c r="G484" i="2"/>
  <c r="H198" i="2"/>
  <c r="H506" i="2"/>
  <c r="I165" i="2"/>
  <c r="G352" i="2"/>
  <c r="I330" i="2"/>
  <c r="I297" i="2"/>
  <c r="I396" i="2"/>
  <c r="R518" i="2"/>
  <c r="H287" i="2"/>
  <c r="H221" i="2"/>
  <c r="G45" i="2"/>
  <c r="P540" i="2"/>
  <c r="H12" i="2"/>
  <c r="G243" i="2"/>
  <c r="K518" i="2"/>
  <c r="H463" i="2"/>
  <c r="Q529" i="2"/>
  <c r="I342" i="2"/>
  <c r="G309" i="2"/>
  <c r="I12" i="2"/>
  <c r="H419" i="2"/>
  <c r="I287" i="2"/>
  <c r="G353" i="2"/>
  <c r="H452" i="2"/>
  <c r="G133" i="2"/>
  <c r="I89" i="2"/>
  <c r="I463" i="2"/>
  <c r="I309" i="2"/>
  <c r="H243" i="2"/>
  <c r="I111" i="2"/>
  <c r="M540" i="2"/>
  <c r="H111" i="2"/>
  <c r="H474" i="2"/>
  <c r="H67" i="2"/>
  <c r="H276" i="2"/>
  <c r="I386" i="2"/>
  <c r="I243" i="2"/>
  <c r="H133" i="2"/>
  <c r="H177" i="2"/>
  <c r="Q518" i="2"/>
  <c r="O540" i="2"/>
  <c r="H364" i="2"/>
  <c r="G364" i="2"/>
  <c r="G474" i="2"/>
  <c r="I199" i="2"/>
  <c r="H408" i="2"/>
  <c r="H375" i="2"/>
  <c r="G430" i="2"/>
  <c r="L518" i="2"/>
  <c r="I78" i="2"/>
  <c r="I452" i="2"/>
  <c r="N518" i="2"/>
  <c r="G100" i="2"/>
  <c r="I133" i="2"/>
  <c r="H518" i="2"/>
  <c r="G441" i="2"/>
  <c r="N529" i="2"/>
  <c r="H23" i="2"/>
  <c r="G408" i="2"/>
  <c r="I188" i="2"/>
  <c r="H441" i="2"/>
  <c r="I430" i="2"/>
  <c r="I232" i="2"/>
  <c r="H89" i="2"/>
  <c r="H397" i="2"/>
  <c r="G111" i="2"/>
  <c r="H485" i="2"/>
  <c r="H265" i="2"/>
  <c r="G485" i="2"/>
  <c r="I122" i="2"/>
  <c r="G331" i="2"/>
  <c r="G210" i="2"/>
  <c r="G463" i="2"/>
  <c r="H122" i="2"/>
  <c r="I155" i="2"/>
  <c r="G320" i="2"/>
  <c r="G518" i="2"/>
  <c r="G67" i="2"/>
  <c r="I485" i="2"/>
  <c r="H309" i="2"/>
  <c r="H507" i="2"/>
  <c r="Q540" i="2"/>
  <c r="I408" i="2"/>
  <c r="I144" i="2"/>
  <c r="I474" i="2"/>
  <c r="G254" i="2"/>
  <c r="H45" i="2"/>
  <c r="H254" i="2"/>
  <c r="H232" i="2"/>
  <c r="I518" i="2"/>
  <c r="I265" i="2"/>
  <c r="G342" i="2"/>
  <c r="H188" i="2"/>
  <c r="G265" i="2"/>
  <c r="P529" i="2"/>
  <c r="G221" i="2"/>
  <c r="G199" i="2"/>
  <c r="G12" i="2"/>
  <c r="G188" i="2"/>
  <c r="I496" i="2"/>
  <c r="G419" i="2"/>
  <c r="I320" i="2"/>
  <c r="G287" i="2"/>
  <c r="G232" i="2"/>
  <c r="I100" i="2"/>
  <c r="G34" i="2"/>
  <c r="H331" i="2"/>
  <c r="M529" i="2"/>
  <c r="I540" i="2"/>
  <c r="O529" i="2"/>
  <c r="R540" i="2"/>
  <c r="G496" i="2"/>
  <c r="J518" i="2"/>
  <c r="L529" i="2"/>
  <c r="H529" i="2"/>
  <c r="H342" i="2"/>
  <c r="G386" i="2"/>
  <c r="I441" i="2"/>
  <c r="G23" i="2"/>
  <c r="I23" i="2"/>
  <c r="I298" i="2"/>
  <c r="K529" i="2"/>
  <c r="I353" i="2"/>
  <c r="I254" i="2"/>
  <c r="P518" i="2"/>
  <c r="G507" i="2"/>
  <c r="G375" i="2"/>
  <c r="H100" i="2"/>
  <c r="H78" i="2"/>
  <c r="H199" i="2"/>
  <c r="R529" i="2"/>
  <c r="I507" i="2"/>
  <c r="G397" i="2"/>
  <c r="H144" i="2"/>
  <c r="H353" i="2"/>
  <c r="K540" i="2"/>
  <c r="I177" i="2"/>
  <c r="M518" i="2"/>
  <c r="G144" i="2"/>
  <c r="I210" i="2"/>
  <c r="H386" i="2"/>
  <c r="G529" i="2"/>
  <c r="G89" i="2"/>
  <c r="I529" i="2"/>
  <c r="I67" i="2"/>
  <c r="H166" i="2"/>
  <c r="G452" i="2"/>
  <c r="I45" i="2"/>
  <c r="G78" i="2"/>
  <c r="H155" i="2"/>
  <c r="G177" i="2"/>
  <c r="G540" i="2"/>
  <c r="I276" i="2"/>
  <c r="I221" i="2"/>
  <c r="H320" i="2"/>
  <c r="G166" i="2"/>
  <c r="L540" i="2"/>
  <c r="H298" i="2"/>
  <c r="I375" i="2"/>
  <c r="J540" i="2"/>
  <c r="H496" i="2"/>
  <c r="O518" i="2"/>
  <c r="I166" i="2"/>
  <c r="J529" i="2"/>
  <c r="H430" i="2"/>
  <c r="H34" i="2"/>
  <c r="N540" i="2"/>
  <c r="G155" i="2"/>
  <c r="H210" i="2"/>
  <c r="G122" i="2"/>
  <c r="I397" i="2"/>
  <c r="H540" i="2"/>
  <c r="G298" i="2"/>
  <c r="I331" i="2"/>
  <c r="I364" i="2"/>
  <c r="I419" i="2"/>
  <c r="I34" i="2"/>
  <c r="G276" i="2"/>
  <c r="N530" i="2"/>
  <c r="Q541" i="2"/>
  <c r="G24" i="2"/>
  <c r="H376" i="2"/>
  <c r="H299" i="2"/>
  <c r="G453" i="2"/>
  <c r="L541" i="2"/>
  <c r="G321" i="2"/>
  <c r="I211" i="2"/>
  <c r="I178" i="2"/>
  <c r="G266" i="2"/>
  <c r="O541" i="2"/>
  <c r="H420" i="2"/>
  <c r="G156" i="2"/>
  <c r="I508" i="2"/>
  <c r="H35" i="2"/>
  <c r="G101" i="2"/>
  <c r="G35" i="2"/>
  <c r="I277" i="2"/>
  <c r="G68" i="2"/>
  <c r="N541" i="2"/>
  <c r="G211" i="2"/>
  <c r="I189" i="2"/>
  <c r="H508" i="2"/>
  <c r="H244" i="2"/>
  <c r="G497" i="2"/>
  <c r="I123" i="2"/>
  <c r="H211" i="2"/>
  <c r="G376" i="2"/>
  <c r="H68" i="2"/>
  <c r="L530" i="2"/>
  <c r="I244" i="2"/>
  <c r="H398" i="2"/>
  <c r="I442" i="2"/>
  <c r="H475" i="2"/>
  <c r="I299" i="2"/>
  <c r="I24" i="2"/>
  <c r="G442" i="2"/>
  <c r="G222" i="2"/>
  <c r="H310" i="2"/>
  <c r="I420" i="2"/>
  <c r="Q530" i="2"/>
  <c r="H233" i="2"/>
  <c r="J541" i="2"/>
  <c r="H123" i="2"/>
  <c r="H442" i="2"/>
  <c r="G123" i="2"/>
  <c r="I365" i="2"/>
  <c r="H145" i="2"/>
  <c r="H409" i="2"/>
  <c r="I497" i="2"/>
  <c r="H354" i="2"/>
  <c r="G90" i="2"/>
  <c r="G343" i="2"/>
  <c r="I387" i="2"/>
  <c r="G167" i="2"/>
  <c r="I409" i="2"/>
  <c r="G46" i="2"/>
  <c r="G530" i="2"/>
  <c r="H13" i="2"/>
  <c r="G79" i="2"/>
  <c r="I222" i="2"/>
  <c r="H365" i="2"/>
  <c r="I266" i="2"/>
  <c r="K530" i="2"/>
  <c r="I134" i="2"/>
  <c r="G244" i="2"/>
  <c r="I46" i="2"/>
  <c r="I233" i="2"/>
  <c r="H277" i="2"/>
  <c r="I530" i="2"/>
  <c r="G255" i="2"/>
  <c r="M541" i="2"/>
  <c r="G145" i="2"/>
  <c r="G354" i="2"/>
  <c r="H332" i="2"/>
  <c r="H255" i="2"/>
  <c r="G420" i="2"/>
  <c r="H497" i="2"/>
  <c r="G332" i="2"/>
  <c r="H156" i="2"/>
  <c r="I376" i="2"/>
  <c r="I145" i="2"/>
  <c r="H24" i="2"/>
  <c r="I453" i="2"/>
  <c r="G288" i="2"/>
  <c r="G13" i="2"/>
  <c r="R541" i="2"/>
  <c r="G387" i="2"/>
  <c r="G277" i="2"/>
  <c r="H90" i="2"/>
  <c r="G299" i="2"/>
  <c r="H343" i="2"/>
  <c r="I343" i="2"/>
  <c r="H541" i="2"/>
  <c r="I475" i="2"/>
  <c r="H46" i="2"/>
  <c r="H134" i="2"/>
  <c r="I431" i="2"/>
  <c r="G189" i="2"/>
  <c r="I112" i="2"/>
  <c r="H266" i="2"/>
  <c r="K541" i="2"/>
  <c r="I519" i="2"/>
  <c r="G310" i="2"/>
  <c r="I68" i="2"/>
  <c r="G398" i="2"/>
  <c r="G541" i="2"/>
  <c r="I464" i="2"/>
  <c r="H288" i="2"/>
  <c r="H519" i="2"/>
  <c r="I79" i="2"/>
  <c r="I398" i="2"/>
  <c r="H79" i="2"/>
  <c r="G431" i="2"/>
  <c r="H167" i="2"/>
  <c r="G409" i="2"/>
  <c r="I310" i="2"/>
  <c r="I156" i="2"/>
  <c r="R530" i="2"/>
  <c r="I101" i="2"/>
  <c r="I255" i="2"/>
  <c r="H112" i="2"/>
  <c r="I288" i="2"/>
  <c r="G508" i="2"/>
  <c r="G365" i="2"/>
  <c r="H486" i="2"/>
  <c r="I167" i="2"/>
  <c r="I354" i="2"/>
  <c r="G233" i="2"/>
  <c r="G475" i="2"/>
  <c r="G464" i="2"/>
  <c r="G112" i="2"/>
  <c r="H453" i="2"/>
  <c r="P541" i="2"/>
  <c r="H189" i="2"/>
  <c r="H431" i="2"/>
  <c r="I321" i="2"/>
  <c r="G134" i="2"/>
  <c r="H101" i="2"/>
  <c r="H178" i="2"/>
  <c r="I486" i="2"/>
  <c r="H200" i="2"/>
  <c r="H464" i="2"/>
  <c r="G486" i="2"/>
  <c r="I13" i="2"/>
  <c r="H321" i="2"/>
  <c r="I200" i="2"/>
  <c r="H222" i="2"/>
  <c r="G200" i="2"/>
  <c r="G178" i="2"/>
  <c r="I332" i="2"/>
  <c r="I90" i="2"/>
  <c r="I35" i="2"/>
  <c r="I541" i="2"/>
  <c r="G519" i="2"/>
  <c r="H530" i="2"/>
  <c r="H387" i="2"/>
  <c r="N151" i="2" l="1"/>
  <c r="S11" i="2"/>
  <c r="M74" i="2"/>
  <c r="S373" i="2"/>
  <c r="S486" i="2"/>
  <c r="S133" i="2"/>
  <c r="S347" i="2"/>
  <c r="S422" i="2"/>
  <c r="S149" i="2"/>
  <c r="S169" i="2"/>
  <c r="S210" i="2"/>
  <c r="S202" i="2"/>
  <c r="S87" i="2"/>
  <c r="S362" i="2"/>
  <c r="S106" i="2"/>
  <c r="S139" i="2"/>
  <c r="S287" i="2"/>
  <c r="S270" i="2"/>
  <c r="S357" i="2"/>
  <c r="S378" i="2"/>
  <c r="S279" i="2"/>
  <c r="S23" i="2"/>
  <c r="S535" i="2"/>
  <c r="S127" i="2"/>
  <c r="S369" i="2"/>
  <c r="S28" i="2"/>
  <c r="S379" i="2"/>
  <c r="S542" i="2"/>
  <c r="S366" i="2"/>
  <c r="S24" i="2"/>
  <c r="S78" i="2"/>
  <c r="S254" i="2"/>
  <c r="S331" i="2"/>
  <c r="S359" i="2"/>
  <c r="S115" i="2"/>
  <c r="S125" i="2"/>
  <c r="S36" i="2"/>
  <c r="S355" i="2"/>
  <c r="S215" i="2"/>
  <c r="S454" i="2"/>
  <c r="S233" i="2"/>
  <c r="S441" i="2"/>
  <c r="S204" i="2"/>
  <c r="S15" i="2"/>
  <c r="S256" i="2"/>
  <c r="S315" i="2"/>
  <c r="S483" i="2"/>
  <c r="S73" i="2"/>
  <c r="S186" i="2"/>
  <c r="S43" i="2"/>
  <c r="S112" i="2"/>
  <c r="S238" i="2"/>
  <c r="S381" i="2"/>
  <c r="S95" i="2"/>
  <c r="S499" i="2"/>
  <c r="S333" i="2"/>
  <c r="S442" i="2"/>
  <c r="S453" i="2"/>
  <c r="S474" i="2"/>
  <c r="S337" i="2"/>
  <c r="S469" i="2"/>
  <c r="S90" i="2"/>
  <c r="S155" i="2"/>
  <c r="S364" i="2"/>
  <c r="S45" i="2"/>
  <c r="S197" i="2"/>
  <c r="S307" i="2"/>
  <c r="S153" i="2"/>
  <c r="S260" i="2"/>
  <c r="S293" i="2"/>
  <c r="S524" i="2"/>
  <c r="S336" i="2"/>
  <c r="S413" i="2"/>
  <c r="S105" i="2"/>
  <c r="S192" i="2"/>
  <c r="S104" i="2"/>
  <c r="S126" i="2"/>
  <c r="S81" i="2"/>
  <c r="S290" i="2"/>
  <c r="S14" i="2"/>
  <c r="S300" i="2"/>
  <c r="S135" i="2"/>
  <c r="S343" i="2"/>
  <c r="S211" i="2"/>
  <c r="S34" i="2"/>
  <c r="S408" i="2"/>
  <c r="S230" i="2"/>
  <c r="S203" i="2"/>
  <c r="S258" i="2"/>
  <c r="S26" i="2"/>
  <c r="S466" i="2"/>
  <c r="S201" i="2"/>
  <c r="S146" i="2"/>
  <c r="S464" i="2"/>
  <c r="S189" i="2"/>
  <c r="S540" i="2"/>
  <c r="S475" i="2"/>
  <c r="S431" i="2"/>
  <c r="S244" i="2"/>
  <c r="S68" i="2"/>
  <c r="S177" i="2"/>
  <c r="S232" i="2"/>
  <c r="S463" i="2"/>
  <c r="S208" i="2"/>
  <c r="S65" i="2"/>
  <c r="S164" i="2"/>
  <c r="S480" i="2"/>
  <c r="S403" i="2"/>
  <c r="S194" i="2"/>
  <c r="S458" i="2"/>
  <c r="S435" i="2"/>
  <c r="S402" i="2"/>
  <c r="S50" i="2"/>
  <c r="S324" i="2"/>
  <c r="S467" i="2"/>
  <c r="S157" i="2"/>
  <c r="S212" i="2"/>
  <c r="S223" i="2"/>
  <c r="S35" i="2"/>
  <c r="S142" i="2"/>
  <c r="S271" i="2"/>
  <c r="S332" i="2"/>
  <c r="S101" i="2"/>
  <c r="S397" i="2"/>
  <c r="S386" i="2"/>
  <c r="S419" i="2"/>
  <c r="S353" i="2"/>
  <c r="S472" i="2"/>
  <c r="S131" i="2"/>
  <c r="S183" i="2"/>
  <c r="S326" i="2"/>
  <c r="S281" i="2"/>
  <c r="S314" i="2"/>
  <c r="S391" i="2"/>
  <c r="S500" i="2"/>
  <c r="S533" i="2"/>
  <c r="S291" i="2"/>
  <c r="S477" i="2"/>
  <c r="S400" i="2"/>
  <c r="S312" i="2"/>
  <c r="S377" i="2"/>
  <c r="S80" i="2"/>
  <c r="S432" i="2"/>
  <c r="S546" i="2"/>
  <c r="S93" i="2"/>
  <c r="S423" i="2"/>
  <c r="S389" i="2"/>
  <c r="S509" i="2"/>
  <c r="S188" i="2"/>
  <c r="S100" i="2"/>
  <c r="S395" i="2"/>
  <c r="S505" i="2"/>
  <c r="S76" i="2"/>
  <c r="S461" i="2"/>
  <c r="S120" i="2"/>
  <c r="S29" i="2"/>
  <c r="S513" i="2"/>
  <c r="S117" i="2"/>
  <c r="S259" i="2"/>
  <c r="S424" i="2"/>
  <c r="S160" i="2"/>
  <c r="S479" i="2"/>
  <c r="S237" i="2"/>
  <c r="S346" i="2"/>
  <c r="S456" i="2"/>
  <c r="S489" i="2"/>
  <c r="S27" i="2"/>
  <c r="S445" i="2"/>
  <c r="S224" i="2"/>
  <c r="S356" i="2"/>
  <c r="S136" i="2"/>
  <c r="S102" i="2"/>
  <c r="S439" i="2"/>
  <c r="S519" i="2"/>
  <c r="S263" i="2"/>
  <c r="S490" i="2"/>
  <c r="S175" i="2"/>
  <c r="S365" i="2"/>
  <c r="S276" i="2"/>
  <c r="S156" i="2"/>
  <c r="S450" i="2"/>
  <c r="S434" i="2"/>
  <c r="S199" i="2"/>
  <c r="S538" i="2"/>
  <c r="S98" i="2"/>
  <c r="S384" i="2"/>
  <c r="S447" i="2"/>
  <c r="S502" i="2"/>
  <c r="S304" i="2"/>
  <c r="S161" i="2"/>
  <c r="S227" i="2"/>
  <c r="S150" i="2"/>
  <c r="S182" i="2"/>
  <c r="S171" i="2"/>
  <c r="S247" i="2"/>
  <c r="S313" i="2"/>
  <c r="S368" i="2"/>
  <c r="S302" i="2"/>
  <c r="S235" i="2"/>
  <c r="S180" i="2"/>
  <c r="S510" i="2"/>
  <c r="S47" i="2"/>
  <c r="S267" i="2"/>
  <c r="S487" i="2"/>
  <c r="S498" i="2"/>
  <c r="S485" i="2"/>
  <c r="S455" i="2"/>
  <c r="S452" i="2"/>
  <c r="S12" i="2"/>
  <c r="S94" i="2"/>
  <c r="S478" i="2"/>
  <c r="S541" i="2"/>
  <c r="S111" i="2"/>
  <c r="S530" i="2"/>
  <c r="S51" i="2"/>
  <c r="S172" i="2"/>
  <c r="S348" i="2"/>
  <c r="S425" i="2"/>
  <c r="S72" i="2"/>
  <c r="S544" i="2"/>
  <c r="S70" i="2"/>
  <c r="S388" i="2"/>
  <c r="S179" i="2"/>
  <c r="S113" i="2"/>
  <c r="S245" i="2"/>
  <c r="S278" i="2"/>
  <c r="S311" i="2"/>
  <c r="S420" i="2"/>
  <c r="S249" i="2"/>
  <c r="S134" i="2"/>
  <c r="S216" i="2"/>
  <c r="S277" i="2"/>
  <c r="S145" i="2"/>
  <c r="S46" i="2"/>
  <c r="S266" i="2"/>
  <c r="S89" i="2"/>
  <c r="S375" i="2"/>
  <c r="S241" i="2"/>
  <c r="S219" i="2"/>
  <c r="S282" i="2"/>
  <c r="S370" i="2"/>
  <c r="S193" i="2"/>
  <c r="S303" i="2"/>
  <c r="S116" i="2"/>
  <c r="S39" i="2"/>
  <c r="S236" i="2"/>
  <c r="S71" i="2"/>
  <c r="S148" i="2"/>
  <c r="S48" i="2"/>
  <c r="S444" i="2"/>
  <c r="S158" i="2"/>
  <c r="S103" i="2"/>
  <c r="S322" i="2"/>
  <c r="S69" i="2"/>
  <c r="S234" i="2"/>
  <c r="S534" i="2"/>
  <c r="S289" i="2"/>
  <c r="S508" i="2"/>
  <c r="S325" i="2"/>
  <c r="S280" i="2"/>
  <c r="S376" i="2"/>
  <c r="S387" i="2"/>
  <c r="S497" i="2"/>
  <c r="S298" i="2"/>
  <c r="S529" i="2"/>
  <c r="S507" i="2"/>
  <c r="S265" i="2"/>
  <c r="S430" i="2"/>
  <c r="S32" i="2"/>
  <c r="S329" i="2"/>
  <c r="S340" i="2"/>
  <c r="S84" i="2"/>
  <c r="S523" i="2"/>
  <c r="S159" i="2"/>
  <c r="S511" i="2"/>
  <c r="S170" i="2"/>
  <c r="S323" i="2"/>
  <c r="S345" i="2"/>
  <c r="S213" i="2"/>
  <c r="S543" i="2"/>
  <c r="S191" i="2"/>
  <c r="S443" i="2"/>
  <c r="S25" i="2"/>
  <c r="S520" i="2"/>
  <c r="S358" i="2"/>
  <c r="S147" i="2"/>
  <c r="S246" i="2"/>
  <c r="S124" i="2"/>
  <c r="S123" i="2"/>
  <c r="S285" i="2"/>
  <c r="S137" i="2"/>
  <c r="S344" i="2"/>
  <c r="S299" i="2"/>
  <c r="S496" i="2"/>
  <c r="S310" i="2"/>
  <c r="S178" i="2"/>
  <c r="S255" i="2"/>
  <c r="S166" i="2"/>
  <c r="S67" i="2"/>
  <c r="S109" i="2"/>
  <c r="S406" i="2"/>
  <c r="S252" i="2"/>
  <c r="S296" i="2"/>
  <c r="S392" i="2"/>
  <c r="S436" i="2"/>
  <c r="S468" i="2"/>
  <c r="S512" i="2"/>
  <c r="S226" i="2"/>
  <c r="S292" i="2"/>
  <c r="S83" i="2"/>
  <c r="S49" i="2"/>
  <c r="S401" i="2"/>
  <c r="S16" i="2"/>
  <c r="S412" i="2"/>
  <c r="S38" i="2"/>
  <c r="S522" i="2"/>
  <c r="S214" i="2"/>
  <c r="S301" i="2"/>
  <c r="S268" i="2"/>
  <c r="S433" i="2"/>
  <c r="S334" i="2"/>
  <c r="S421" i="2"/>
  <c r="S399" i="2"/>
  <c r="S79" i="2"/>
  <c r="S417" i="2"/>
  <c r="S367" i="2"/>
  <c r="S410" i="2"/>
  <c r="S309" i="2"/>
  <c r="S398" i="2"/>
  <c r="S221" i="2"/>
  <c r="S428" i="2"/>
  <c r="S321" i="2"/>
  <c r="S342" i="2"/>
  <c r="S518" i="2"/>
  <c r="S243" i="2"/>
  <c r="S351" i="2"/>
  <c r="S18" i="2"/>
  <c r="S491" i="2"/>
  <c r="S414" i="2"/>
  <c r="S457" i="2"/>
  <c r="S380" i="2"/>
  <c r="S446" i="2"/>
  <c r="S17" i="2"/>
  <c r="S390" i="2"/>
  <c r="S82" i="2"/>
  <c r="S92" i="2"/>
  <c r="S532" i="2"/>
  <c r="S521" i="2"/>
  <c r="S465" i="2"/>
  <c r="S527" i="2"/>
  <c r="S488" i="2"/>
  <c r="S318" i="2"/>
  <c r="S411" i="2"/>
  <c r="S21" i="2"/>
  <c r="S168" i="2"/>
  <c r="S354" i="2"/>
  <c r="S200" i="2"/>
  <c r="S13" i="2"/>
  <c r="S167" i="2"/>
  <c r="S288" i="2"/>
  <c r="S222" i="2"/>
  <c r="S122" i="2"/>
  <c r="S144" i="2"/>
  <c r="S320" i="2"/>
  <c r="S274" i="2"/>
  <c r="S494" i="2"/>
  <c r="S40" i="2"/>
  <c r="S128" i="2"/>
  <c r="S248" i="2"/>
  <c r="S138" i="2"/>
  <c r="S545" i="2"/>
  <c r="S225" i="2"/>
  <c r="S181" i="2"/>
  <c r="S269" i="2"/>
  <c r="S335" i="2"/>
  <c r="S257" i="2"/>
  <c r="S114" i="2"/>
  <c r="S190" i="2"/>
  <c r="S91" i="2"/>
  <c r="S531" i="2"/>
  <c r="S476" i="2"/>
  <c r="S409" i="2"/>
  <c r="S516" i="2"/>
  <c r="S205" i="2"/>
  <c r="S501" i="2"/>
  <c r="S37" i="2"/>
  <c r="S10" i="2"/>
  <c r="M140" i="2"/>
  <c r="P261" i="2"/>
  <c r="I316" i="2"/>
  <c r="M283" i="2"/>
  <c r="K349" i="2"/>
  <c r="M52" i="2"/>
  <c r="O503" i="2"/>
  <c r="G316" i="2"/>
  <c r="J481" i="2"/>
  <c r="P118" i="2"/>
  <c r="M239" i="2"/>
  <c r="N173" i="2"/>
  <c r="R492" i="2"/>
  <c r="N261" i="2"/>
  <c r="L195" i="2"/>
  <c r="J437" i="2"/>
  <c r="L426" i="2"/>
  <c r="O305" i="2"/>
  <c r="N184" i="2"/>
  <c r="M107" i="2"/>
  <c r="K448" i="2"/>
  <c r="M338" i="2"/>
  <c r="K327" i="2"/>
  <c r="P305" i="2"/>
  <c r="R52" i="2"/>
  <c r="R96" i="2"/>
  <c r="N96" i="2"/>
  <c r="H239" i="2"/>
  <c r="K470" i="2"/>
  <c r="R129" i="2"/>
  <c r="N228" i="2"/>
  <c r="P382" i="2"/>
  <c r="N140" i="2"/>
  <c r="Q481" i="2"/>
  <c r="Q382" i="2"/>
  <c r="L261" i="2"/>
  <c r="O261" i="2"/>
  <c r="L74" i="2"/>
  <c r="K184" i="2"/>
  <c r="N30" i="2"/>
  <c r="M228" i="2"/>
  <c r="H294" i="2"/>
  <c r="P514" i="2"/>
  <c r="G547" i="2"/>
  <c r="S547" i="2" s="1"/>
  <c r="R360" i="2"/>
  <c r="L41" i="2"/>
  <c r="L217" i="2"/>
  <c r="M41" i="2"/>
  <c r="L184" i="2"/>
  <c r="Q261" i="2"/>
  <c r="N195" i="2"/>
  <c r="L52" i="2"/>
  <c r="M173" i="2"/>
  <c r="N547" i="2"/>
  <c r="O173" i="2"/>
  <c r="I459" i="2"/>
  <c r="J448" i="2"/>
  <c r="J305" i="2"/>
  <c r="N239" i="2"/>
  <c r="N107" i="2"/>
  <c r="H30" i="2"/>
  <c r="L503" i="2"/>
  <c r="L492" i="2"/>
  <c r="L173" i="2"/>
  <c r="M162" i="2"/>
  <c r="M85" i="2"/>
  <c r="G250" i="2"/>
  <c r="G140" i="2"/>
  <c r="R536" i="2"/>
  <c r="M393" i="2"/>
  <c r="P470" i="2"/>
  <c r="Q437" i="2"/>
  <c r="K360" i="2"/>
  <c r="R250" i="2"/>
  <c r="O162" i="2"/>
  <c r="Q151" i="2"/>
  <c r="K74" i="2"/>
  <c r="G283" i="2"/>
  <c r="L107" i="2"/>
  <c r="I52" i="2"/>
  <c r="G217" i="2"/>
  <c r="Q239" i="2"/>
  <c r="R118" i="2"/>
  <c r="N41" i="2"/>
  <c r="L129" i="2"/>
  <c r="M492" i="2"/>
  <c r="L547" i="2"/>
  <c r="H107" i="2"/>
  <c r="H41" i="2"/>
  <c r="M481" i="2"/>
  <c r="O415" i="2"/>
  <c r="K250" i="2"/>
  <c r="H195" i="2"/>
  <c r="J404" i="2"/>
  <c r="N118" i="2"/>
  <c r="N206" i="2"/>
  <c r="L228" i="2"/>
  <c r="J151" i="2"/>
  <c r="G536" i="2"/>
  <c r="S536" i="2" s="1"/>
  <c r="M217" i="2"/>
  <c r="I503" i="2"/>
  <c r="I228" i="2"/>
  <c r="G426" i="2"/>
  <c r="G162" i="2"/>
  <c r="K393" i="2"/>
  <c r="N415" i="2"/>
  <c r="J371" i="2"/>
  <c r="R316" i="2"/>
  <c r="M327" i="2"/>
  <c r="R217" i="2"/>
  <c r="Q107" i="2"/>
  <c r="R151" i="2"/>
  <c r="M195" i="2"/>
  <c r="Q536" i="2"/>
  <c r="M382" i="2"/>
  <c r="O382" i="2"/>
  <c r="N492" i="2"/>
  <c r="L206" i="2"/>
  <c r="L96" i="2"/>
  <c r="Q404" i="2"/>
  <c r="H404" i="2"/>
  <c r="M349" i="2"/>
  <c r="G360" i="2"/>
  <c r="O272" i="2"/>
  <c r="N129" i="2"/>
  <c r="M151" i="2"/>
  <c r="M118" i="2"/>
  <c r="H470" i="2"/>
  <c r="L327" i="2"/>
  <c r="N74" i="2"/>
  <c r="G525" i="2"/>
  <c r="S525" i="2" s="1"/>
  <c r="K437" i="2"/>
  <c r="K261" i="2"/>
  <c r="N162" i="2"/>
  <c r="H217" i="2"/>
  <c r="N85" i="2"/>
  <c r="M129" i="2"/>
  <c r="M184" i="2"/>
  <c r="M206" i="2"/>
  <c r="H426" i="2"/>
  <c r="G338" i="2"/>
  <c r="I250" i="2"/>
  <c r="G415" i="2"/>
  <c r="O492" i="2"/>
  <c r="I448" i="2"/>
  <c r="I118" i="2"/>
  <c r="G107" i="2"/>
  <c r="O536" i="2"/>
  <c r="K404" i="2"/>
  <c r="Q448" i="2"/>
  <c r="R294" i="2"/>
  <c r="J327" i="2"/>
  <c r="N316" i="2"/>
  <c r="M360" i="2"/>
  <c r="P316" i="2"/>
  <c r="O371" i="2"/>
  <c r="O195" i="2"/>
  <c r="P184" i="2"/>
  <c r="Q41" i="2"/>
  <c r="O96" i="2"/>
  <c r="M30" i="2"/>
  <c r="L118" i="2"/>
  <c r="L382" i="2"/>
  <c r="M547" i="2"/>
  <c r="O393" i="2"/>
  <c r="Q316" i="2"/>
  <c r="R30" i="2"/>
  <c r="Q74" i="2"/>
  <c r="L151" i="2"/>
  <c r="K118" i="2"/>
  <c r="Q459" i="2"/>
  <c r="O107" i="2"/>
  <c r="M96" i="2"/>
  <c r="H305" i="2"/>
  <c r="H371" i="2"/>
  <c r="I393" i="2"/>
  <c r="G96" i="2"/>
  <c r="J525" i="2"/>
  <c r="P360" i="2"/>
  <c r="K52" i="2"/>
  <c r="J393" i="2"/>
  <c r="R74" i="2"/>
  <c r="G239" i="2"/>
  <c r="H503" i="2"/>
  <c r="M261" i="2"/>
  <c r="L239" i="2"/>
  <c r="G481" i="2"/>
  <c r="J272" i="2"/>
  <c r="G206" i="2"/>
  <c r="K481" i="2"/>
  <c r="N250" i="2"/>
  <c r="H448" i="2"/>
  <c r="R41" i="2"/>
  <c r="H272" i="2"/>
  <c r="H206" i="2"/>
  <c r="I206" i="2"/>
  <c r="N52" i="2"/>
  <c r="J96" i="2"/>
  <c r="L30" i="2"/>
  <c r="L514" i="2"/>
  <c r="G470" i="2"/>
  <c r="G514" i="2"/>
  <c r="G228" i="2"/>
  <c r="G294" i="2"/>
  <c r="I514" i="2"/>
  <c r="P536" i="2"/>
  <c r="I217" i="2"/>
  <c r="M503" i="2"/>
  <c r="P426" i="2"/>
  <c r="J459" i="2"/>
  <c r="N459" i="2"/>
  <c r="K371" i="2"/>
  <c r="P272" i="2"/>
  <c r="O349" i="2"/>
  <c r="L294" i="2"/>
  <c r="Q360" i="2"/>
  <c r="L283" i="2"/>
  <c r="P41" i="2"/>
  <c r="O85" i="2"/>
  <c r="N217" i="2"/>
  <c r="R107" i="2"/>
  <c r="K85" i="2"/>
  <c r="G459" i="2"/>
  <c r="G382" i="2"/>
  <c r="J250" i="2"/>
  <c r="J74" i="2"/>
  <c r="Q525" i="2"/>
  <c r="Q514" i="2"/>
  <c r="P492" i="2"/>
  <c r="J382" i="2"/>
  <c r="R393" i="2"/>
  <c r="M294" i="2"/>
  <c r="K338" i="2"/>
  <c r="Q327" i="2"/>
  <c r="Q30" i="2"/>
  <c r="O52" i="2"/>
  <c r="H129" i="2"/>
  <c r="H556" i="2"/>
  <c r="H283" i="2"/>
  <c r="I553" i="2"/>
  <c r="H551" i="2"/>
  <c r="I558" i="2"/>
  <c r="J503" i="2"/>
  <c r="H492" i="2"/>
  <c r="I151" i="2"/>
  <c r="I404" i="2"/>
  <c r="N514" i="2"/>
  <c r="H316" i="2"/>
  <c r="H360" i="2"/>
  <c r="G503" i="2"/>
  <c r="I96" i="2"/>
  <c r="L536" i="2"/>
  <c r="I272" i="2"/>
  <c r="H162" i="2"/>
  <c r="H437" i="2"/>
  <c r="H554" i="2"/>
  <c r="P437" i="2"/>
  <c r="R426" i="2"/>
  <c r="O459" i="2"/>
  <c r="N382" i="2"/>
  <c r="R404" i="2"/>
  <c r="J294" i="2"/>
  <c r="L305" i="2"/>
  <c r="P338" i="2"/>
  <c r="P250" i="2"/>
  <c r="Q52" i="2"/>
  <c r="O19" i="2"/>
  <c r="O557" i="2"/>
  <c r="P151" i="2"/>
  <c r="O206" i="2"/>
  <c r="Q85" i="2"/>
  <c r="O555" i="2"/>
  <c r="O553" i="2"/>
  <c r="J553" i="2"/>
  <c r="P551" i="2"/>
  <c r="M558" i="2"/>
  <c r="J118" i="2"/>
  <c r="L19" i="2"/>
  <c r="L557" i="2"/>
  <c r="I283" i="2"/>
  <c r="H228" i="2"/>
  <c r="N448" i="2"/>
  <c r="P129" i="2"/>
  <c r="O30" i="2"/>
  <c r="P552" i="2"/>
  <c r="K558" i="2"/>
  <c r="L558" i="2"/>
  <c r="J206" i="2"/>
  <c r="K96" i="2"/>
  <c r="J184" i="2"/>
  <c r="M525" i="2"/>
  <c r="J514" i="2"/>
  <c r="H555" i="2"/>
  <c r="Q371" i="2"/>
  <c r="G437" i="2"/>
  <c r="J492" i="2"/>
  <c r="H52" i="2"/>
  <c r="I338" i="2"/>
  <c r="G404" i="2"/>
  <c r="I129" i="2"/>
  <c r="H349" i="2"/>
  <c r="G52" i="2"/>
  <c r="K525" i="2"/>
  <c r="J536" i="2"/>
  <c r="I360" i="2"/>
  <c r="I261" i="2"/>
  <c r="I554" i="2"/>
  <c r="M415" i="2"/>
  <c r="Q393" i="2"/>
  <c r="Q426" i="2"/>
  <c r="M404" i="2"/>
  <c r="L360" i="2"/>
  <c r="K283" i="2"/>
  <c r="O327" i="2"/>
  <c r="Q272" i="2"/>
  <c r="Q250" i="2"/>
  <c r="Q551" i="2"/>
  <c r="R558" i="2"/>
  <c r="P217" i="2"/>
  <c r="P239" i="2"/>
  <c r="Q129" i="2"/>
  <c r="R173" i="2"/>
  <c r="K552" i="2"/>
  <c r="N551" i="2"/>
  <c r="N550" i="2"/>
  <c r="L556" i="2"/>
  <c r="J550" i="2"/>
  <c r="J558" i="2"/>
  <c r="K41" i="2"/>
  <c r="J162" i="2"/>
  <c r="K217" i="2"/>
  <c r="H552" i="2"/>
  <c r="H184" i="2"/>
  <c r="Q503" i="2"/>
  <c r="I371" i="2"/>
  <c r="I555" i="2"/>
  <c r="M448" i="2"/>
  <c r="G129" i="2"/>
  <c r="G272" i="2"/>
  <c r="N525" i="2"/>
  <c r="H327" i="2"/>
  <c r="P503" i="2"/>
  <c r="I184" i="2"/>
  <c r="G371" i="2"/>
  <c r="G349" i="2"/>
  <c r="I173" i="2"/>
  <c r="G151" i="2"/>
  <c r="I492" i="2"/>
  <c r="G30" i="2"/>
  <c r="R382" i="2"/>
  <c r="N404" i="2"/>
  <c r="L404" i="2"/>
  <c r="J470" i="2"/>
  <c r="M272" i="2"/>
  <c r="N349" i="2"/>
  <c r="N360" i="2"/>
  <c r="Q349" i="2"/>
  <c r="M371" i="2"/>
  <c r="N338" i="2"/>
  <c r="M250" i="2"/>
  <c r="Q118" i="2"/>
  <c r="R195" i="2"/>
  <c r="O151" i="2"/>
  <c r="Q195" i="2"/>
  <c r="Q96" i="2"/>
  <c r="P553" i="2"/>
  <c r="M553" i="2"/>
  <c r="L551" i="2"/>
  <c r="K239" i="2"/>
  <c r="K162" i="2"/>
  <c r="G551" i="2"/>
  <c r="I239" i="2"/>
  <c r="G554" i="2"/>
  <c r="I382" i="2"/>
  <c r="R503" i="2"/>
  <c r="G492" i="2"/>
  <c r="O481" i="2"/>
  <c r="I327" i="2"/>
  <c r="R547" i="2"/>
  <c r="K547" i="2"/>
  <c r="I415" i="2"/>
  <c r="K536" i="2"/>
  <c r="H514" i="2"/>
  <c r="H525" i="2"/>
  <c r="J547" i="2"/>
  <c r="R514" i="2"/>
  <c r="P448" i="2"/>
  <c r="K382" i="2"/>
  <c r="N426" i="2"/>
  <c r="O437" i="2"/>
  <c r="K426" i="2"/>
  <c r="R261" i="2"/>
  <c r="O283" i="2"/>
  <c r="O316" i="2"/>
  <c r="R349" i="2"/>
  <c r="K272" i="2"/>
  <c r="O558" i="2"/>
  <c r="O239" i="2"/>
  <c r="Q140" i="2"/>
  <c r="P19" i="2"/>
  <c r="P557" i="2"/>
  <c r="P30" i="2"/>
  <c r="Q162" i="2"/>
  <c r="O74" i="2"/>
  <c r="R556" i="2"/>
  <c r="P556" i="2"/>
  <c r="L554" i="2"/>
  <c r="J552" i="2"/>
  <c r="M552" i="2"/>
  <c r="J107" i="2"/>
  <c r="J41" i="2"/>
  <c r="J556" i="2"/>
  <c r="R550" i="2"/>
  <c r="P558" i="2"/>
  <c r="P52" i="2"/>
  <c r="R19" i="2"/>
  <c r="R557" i="2"/>
  <c r="Q19" i="2"/>
  <c r="Q557" i="2"/>
  <c r="O556" i="2"/>
  <c r="K554" i="2"/>
  <c r="O554" i="2"/>
  <c r="Q554" i="2"/>
  <c r="L552" i="2"/>
  <c r="J140" i="2"/>
  <c r="K107" i="2"/>
  <c r="K206" i="2"/>
  <c r="H557" i="2"/>
  <c r="H19" i="2"/>
  <c r="M305" i="2"/>
  <c r="R272" i="2"/>
  <c r="N371" i="2"/>
  <c r="R551" i="2"/>
  <c r="M550" i="2"/>
  <c r="J554" i="2"/>
  <c r="O550" i="2"/>
  <c r="J129" i="2"/>
  <c r="I551" i="2"/>
  <c r="G556" i="2"/>
  <c r="H550" i="2"/>
  <c r="H382" i="2"/>
  <c r="G550" i="2"/>
  <c r="H173" i="2"/>
  <c r="G555" i="2"/>
  <c r="M470" i="2"/>
  <c r="P415" i="2"/>
  <c r="N327" i="2"/>
  <c r="Q338" i="2"/>
  <c r="M19" i="2"/>
  <c r="M557" i="2"/>
  <c r="L550" i="2"/>
  <c r="K173" i="2"/>
  <c r="J239" i="2"/>
  <c r="L162" i="2"/>
  <c r="G552" i="2"/>
  <c r="H151" i="2"/>
  <c r="G261" i="2"/>
  <c r="H558" i="2"/>
  <c r="K492" i="2"/>
  <c r="I195" i="2"/>
  <c r="G327" i="2"/>
  <c r="O514" i="2"/>
  <c r="I162" i="2"/>
  <c r="I41" i="2"/>
  <c r="O547" i="2"/>
  <c r="H96" i="2"/>
  <c r="H261" i="2"/>
  <c r="J415" i="2"/>
  <c r="L448" i="2"/>
  <c r="R437" i="2"/>
  <c r="K459" i="2"/>
  <c r="R415" i="2"/>
  <c r="L371" i="2"/>
  <c r="R283" i="2"/>
  <c r="P294" i="2"/>
  <c r="J283" i="2"/>
  <c r="R338" i="2"/>
  <c r="P550" i="2"/>
  <c r="P74" i="2"/>
  <c r="P85" i="2"/>
  <c r="O140" i="2"/>
  <c r="R140" i="2"/>
  <c r="R555" i="2"/>
  <c r="K553" i="2"/>
  <c r="J217" i="2"/>
  <c r="G85" i="2"/>
  <c r="I19" i="2"/>
  <c r="I557" i="2"/>
  <c r="G393" i="2"/>
  <c r="I552" i="2"/>
  <c r="I547" i="2"/>
  <c r="P547" i="2"/>
  <c r="N503" i="2"/>
  <c r="K503" i="2"/>
  <c r="N536" i="2"/>
  <c r="G184" i="2"/>
  <c r="I470" i="2"/>
  <c r="H338" i="2"/>
  <c r="H85" i="2"/>
  <c r="P525" i="2"/>
  <c r="I107" i="2"/>
  <c r="H481" i="2"/>
  <c r="G173" i="2"/>
  <c r="I437" i="2"/>
  <c r="R459" i="2"/>
  <c r="O470" i="2"/>
  <c r="R470" i="2"/>
  <c r="O426" i="2"/>
  <c r="P481" i="2"/>
  <c r="R371" i="2"/>
  <c r="P371" i="2"/>
  <c r="N305" i="2"/>
  <c r="L349" i="2"/>
  <c r="Q305" i="2"/>
  <c r="Q550" i="2"/>
  <c r="O129" i="2"/>
  <c r="P140" i="2"/>
  <c r="R228" i="2"/>
  <c r="R162" i="2"/>
  <c r="N555" i="2"/>
  <c r="M555" i="2"/>
  <c r="N554" i="2"/>
  <c r="L553" i="2"/>
  <c r="J551" i="2"/>
  <c r="O551" i="2"/>
  <c r="K555" i="2"/>
  <c r="K151" i="2"/>
  <c r="J195" i="2"/>
  <c r="G553" i="2"/>
  <c r="H553" i="2"/>
  <c r="H140" i="2"/>
  <c r="I426" i="2"/>
  <c r="R525" i="2"/>
  <c r="I74" i="2"/>
  <c r="I140" i="2"/>
  <c r="I525" i="2"/>
  <c r="H393" i="2"/>
  <c r="I85" i="2"/>
  <c r="L525" i="2"/>
  <c r="I305" i="2"/>
  <c r="H118" i="2"/>
  <c r="I349" i="2"/>
  <c r="G74" i="2"/>
  <c r="N393" i="2"/>
  <c r="O404" i="2"/>
  <c r="Q415" i="2"/>
  <c r="N470" i="2"/>
  <c r="L415" i="2"/>
  <c r="L272" i="2"/>
  <c r="N294" i="2"/>
  <c r="J261" i="2"/>
  <c r="K294" i="2"/>
  <c r="J316" i="2"/>
  <c r="L338" i="2"/>
  <c r="O250" i="2"/>
  <c r="P206" i="2"/>
  <c r="P228" i="2"/>
  <c r="Q217" i="2"/>
  <c r="P96" i="2"/>
  <c r="M556" i="2"/>
  <c r="Q555" i="2"/>
  <c r="M554" i="2"/>
  <c r="N553" i="2"/>
  <c r="N558" i="2"/>
  <c r="L140" i="2"/>
  <c r="J30" i="2"/>
  <c r="I550" i="2"/>
  <c r="H250" i="2"/>
  <c r="H536" i="2"/>
  <c r="I294" i="2"/>
  <c r="H415" i="2"/>
  <c r="H547" i="2"/>
  <c r="G195" i="2"/>
  <c r="I481" i="2"/>
  <c r="H459" i="2"/>
  <c r="M536" i="2"/>
  <c r="G305" i="2"/>
  <c r="H74" i="2"/>
  <c r="I536" i="2"/>
  <c r="G118" i="2"/>
  <c r="G41" i="2"/>
  <c r="I556" i="2"/>
  <c r="R448" i="2"/>
  <c r="Q470" i="2"/>
  <c r="J426" i="2"/>
  <c r="L437" i="2"/>
  <c r="L481" i="2"/>
  <c r="K316" i="2"/>
  <c r="O294" i="2"/>
  <c r="Q294" i="2"/>
  <c r="R327" i="2"/>
  <c r="R305" i="2"/>
  <c r="L316" i="2"/>
  <c r="R552" i="2"/>
  <c r="R184" i="2"/>
  <c r="R206" i="2"/>
  <c r="R85" i="2"/>
  <c r="P162" i="2"/>
  <c r="Q228" i="2"/>
  <c r="Q206" i="2"/>
  <c r="N556" i="2"/>
  <c r="P554" i="2"/>
  <c r="Q553" i="2"/>
  <c r="M551" i="2"/>
  <c r="L85" i="2"/>
  <c r="K195" i="2"/>
  <c r="K140" i="2"/>
  <c r="P459" i="2"/>
  <c r="M459" i="2"/>
  <c r="L470" i="2"/>
  <c r="M426" i="2"/>
  <c r="P393" i="2"/>
  <c r="J338" i="2"/>
  <c r="R481" i="2"/>
  <c r="J360" i="2"/>
  <c r="O338" i="2"/>
  <c r="J349" i="2"/>
  <c r="P327" i="2"/>
  <c r="O360" i="2"/>
  <c r="L250" i="2"/>
  <c r="R553" i="2"/>
  <c r="Q558" i="2"/>
  <c r="R239" i="2"/>
  <c r="Q184" i="2"/>
  <c r="P107" i="2"/>
  <c r="P195" i="2"/>
  <c r="O118" i="2"/>
  <c r="J173" i="2"/>
  <c r="J52" i="2"/>
  <c r="J85" i="2"/>
  <c r="N437" i="2"/>
  <c r="Q173" i="2"/>
  <c r="L555" i="2"/>
  <c r="Q552" i="2"/>
  <c r="K19" i="2"/>
  <c r="K557" i="2"/>
  <c r="K228" i="2"/>
  <c r="M437" i="2"/>
  <c r="G558" i="2"/>
  <c r="K514" i="2"/>
  <c r="I30" i="2"/>
  <c r="Q492" i="2"/>
  <c r="O525" i="2"/>
  <c r="M514" i="2"/>
  <c r="G448" i="2"/>
  <c r="G557" i="2"/>
  <c r="G19" i="2"/>
  <c r="Q547" i="2"/>
  <c r="P404" i="2"/>
  <c r="L393" i="2"/>
  <c r="K415" i="2"/>
  <c r="L459" i="2"/>
  <c r="O448" i="2"/>
  <c r="P349" i="2"/>
  <c r="Q283" i="2"/>
  <c r="N272" i="2"/>
  <c r="N283" i="2"/>
  <c r="K305" i="2"/>
  <c r="M316" i="2"/>
  <c r="O41" i="2"/>
  <c r="P173" i="2"/>
  <c r="O184" i="2"/>
  <c r="O228" i="2"/>
  <c r="Q556" i="2"/>
  <c r="P555" i="2"/>
  <c r="R554" i="2"/>
  <c r="O552" i="2"/>
  <c r="N552" i="2"/>
  <c r="K550" i="2"/>
  <c r="K30" i="2"/>
  <c r="J19" i="2"/>
  <c r="J557" i="2"/>
  <c r="J555" i="2"/>
  <c r="N481" i="2"/>
  <c r="P283" i="2"/>
  <c r="N19" i="2"/>
  <c r="N557" i="2"/>
  <c r="O217" i="2"/>
  <c r="K551" i="2"/>
  <c r="K556" i="2"/>
  <c r="J228" i="2"/>
  <c r="K129" i="2"/>
  <c r="S550" i="2" l="1"/>
  <c r="S551" i="2"/>
  <c r="S338" i="2"/>
  <c r="S558" i="2"/>
  <c r="S294" i="2"/>
  <c r="S305" i="2"/>
  <c r="S74" i="2"/>
  <c r="S448" i="2"/>
  <c r="S41" i="2"/>
  <c r="S173" i="2"/>
  <c r="S349" i="2"/>
  <c r="S206" i="2"/>
  <c r="S217" i="2"/>
  <c r="S85" i="2"/>
  <c r="S552" i="2"/>
  <c r="S556" i="2"/>
  <c r="S492" i="2"/>
  <c r="S371" i="2"/>
  <c r="S503" i="2"/>
  <c r="S228" i="2"/>
  <c r="S415" i="2"/>
  <c r="S118" i="2"/>
  <c r="S514" i="2"/>
  <c r="S437" i="2"/>
  <c r="S470" i="2"/>
  <c r="S481" i="2"/>
  <c r="S283" i="2"/>
  <c r="S554" i="2"/>
  <c r="S553" i="2"/>
  <c r="S360" i="2"/>
  <c r="S272" i="2"/>
  <c r="S184" i="2"/>
  <c r="S129" i="2"/>
  <c r="S239" i="2"/>
  <c r="S195" i="2"/>
  <c r="S162" i="2"/>
  <c r="S316" i="2"/>
  <c r="S426" i="2"/>
  <c r="S327" i="2"/>
  <c r="S382" i="2"/>
  <c r="S555" i="2"/>
  <c r="S30" i="2"/>
  <c r="S52" i="2"/>
  <c r="S459" i="2"/>
  <c r="S96" i="2"/>
  <c r="S107" i="2"/>
  <c r="S140" i="2"/>
  <c r="S19" i="2"/>
  <c r="S393" i="2"/>
  <c r="S151" i="2"/>
  <c r="S250" i="2"/>
  <c r="S557" i="2"/>
  <c r="S261" i="2"/>
  <c r="S404" i="2"/>
  <c r="K559" i="2"/>
  <c r="R559" i="2"/>
  <c r="H559" i="2"/>
  <c r="I559" i="2"/>
  <c r="M559" i="2"/>
  <c r="Q559" i="2"/>
  <c r="L559" i="2"/>
  <c r="G559" i="2"/>
  <c r="O559" i="2"/>
  <c r="N559" i="2"/>
  <c r="J559" i="2"/>
  <c r="P559" i="2"/>
  <c r="U551" i="2" l="1"/>
  <c r="U556" i="2"/>
  <c r="U558" i="2"/>
  <c r="U550" i="2"/>
  <c r="U552" i="2"/>
  <c r="U553" i="2"/>
  <c r="U557" i="2"/>
  <c r="U555" i="2"/>
  <c r="F10" i="33"/>
  <c r="H10" i="33" s="1"/>
  <c r="F13" i="33"/>
  <c r="H13" i="33" s="1"/>
  <c r="F11" i="33"/>
  <c r="H11" i="33" s="1"/>
  <c r="F8" i="33"/>
  <c r="H8" i="33" s="1"/>
  <c r="F7" i="33"/>
  <c r="H7" i="33" s="1"/>
  <c r="F16" i="33"/>
  <c r="H16" i="33" s="1"/>
  <c r="F12" i="33" l="1"/>
  <c r="F18" i="33" s="1"/>
  <c r="H18" i="33" s="1"/>
  <c r="H12" i="33" l="1"/>
  <c r="F14" i="33"/>
  <c r="H14" i="33" s="1"/>
  <c r="F19" i="33" l="1"/>
  <c r="H19" i="33" s="1"/>
</calcChain>
</file>

<file path=xl/sharedStrings.xml><?xml version="1.0" encoding="utf-8"?>
<sst xmlns="http://schemas.openxmlformats.org/spreadsheetml/2006/main" count="3230" uniqueCount="1640">
  <si>
    <t>EBITDAR Coverage</t>
  </si>
  <si>
    <t>PAY_PAT_DAYS - Total Payor Patient Days</t>
  </si>
  <si>
    <t>T_BAD_DEBT - Tenant Bad Debt Expense</t>
  </si>
  <si>
    <t>x</t>
  </si>
  <si>
    <t>T_REVENUES - Total Tenant Revenues</t>
  </si>
  <si>
    <t>T_OPEX - Tenant Operating Expenses</t>
  </si>
  <si>
    <t>T_EBITDARM - EBITDARM</t>
  </si>
  <si>
    <t>T_MGMT_FEE - Tenant Management Fee - Actual</t>
  </si>
  <si>
    <t>T_EBITDAR - EBITDAR</t>
  </si>
  <si>
    <t>A_BEDS_TOTAL - Total Available Beds</t>
  </si>
  <si>
    <t>Days in Month</t>
  </si>
  <si>
    <t>EBITDAR</t>
  </si>
  <si>
    <t>EBITDARM</t>
  </si>
  <si>
    <t>Electricity</t>
  </si>
  <si>
    <t>Sabra Consolidated</t>
  </si>
  <si>
    <t>YTD PL Trailing 12 months</t>
  </si>
  <si>
    <t xml:space="preserve">Page: &amp;P </t>
  </si>
  <si>
    <t>ACTUAL</t>
  </si>
  <si>
    <t>Oct 2017</t>
  </si>
  <si>
    <t>Nov 2017</t>
  </si>
  <si>
    <t>Dec 2017</t>
  </si>
  <si>
    <t>Jan 2018</t>
  </si>
  <si>
    <t>Feb 2018</t>
  </si>
  <si>
    <t>Mar 2018</t>
  </si>
  <si>
    <t>Trailing</t>
  </si>
  <si>
    <t>Totals</t>
  </si>
  <si>
    <t>Occupancy %</t>
  </si>
  <si>
    <t>Licensed Beds</t>
  </si>
  <si>
    <t>Operating Beds</t>
  </si>
  <si>
    <t>MCD ADC</t>
  </si>
  <si>
    <t>MCD Pending ADC</t>
  </si>
  <si>
    <t>Medicaid ADC</t>
  </si>
  <si>
    <t>Medicaid CBA ADC</t>
  </si>
  <si>
    <t>Medicare ADC</t>
  </si>
  <si>
    <t>Insurance ADC</t>
  </si>
  <si>
    <t>Private Pay ADC</t>
  </si>
  <si>
    <t>ALF ADC</t>
  </si>
  <si>
    <t>Hospice ADC</t>
  </si>
  <si>
    <t>Unadjusted Average Daily Census</t>
  </si>
  <si>
    <t>Patient Days MCD</t>
  </si>
  <si>
    <t>Patient Days Medicaid Pending</t>
  </si>
  <si>
    <t>Patient Days Medicaid</t>
  </si>
  <si>
    <t>Patient Days Medicaid CBA</t>
  </si>
  <si>
    <t>Patient Days Medicare</t>
  </si>
  <si>
    <t>Patient Days Insurance</t>
  </si>
  <si>
    <t>Patient Days Private Pay</t>
  </si>
  <si>
    <t>Patient Days ALF</t>
  </si>
  <si>
    <t>Patient Days Hospice</t>
  </si>
  <si>
    <t>Bed Holds</t>
  </si>
  <si>
    <t>Adjusted Pt Days MCD</t>
  </si>
  <si>
    <t>Adjusted Pt Days MCare</t>
  </si>
  <si>
    <t>Adjusted Pt Days PVT Pay</t>
  </si>
  <si>
    <t>Adjusted Pt Days Insurance</t>
  </si>
  <si>
    <t>Adjusted Pt Days Other Prior Period (VA,Hospice,Bed hold)</t>
  </si>
  <si>
    <t>Unadjusted Patient Days</t>
  </si>
  <si>
    <t>PT DAYs Actual MCR/INS Qmix</t>
  </si>
  <si>
    <t>Revenue</t>
  </si>
  <si>
    <t>Medicaid</t>
  </si>
  <si>
    <t>Medicaid GDT</t>
  </si>
  <si>
    <t>MCD-CBA</t>
  </si>
  <si>
    <t>Medicare Part A</t>
  </si>
  <si>
    <t>Medicare Part B (Ancillary Total Revenue)</t>
  </si>
  <si>
    <t>PVT Pay</t>
  </si>
  <si>
    <t>ALF</t>
  </si>
  <si>
    <t>Hospice</t>
  </si>
  <si>
    <t>Ins</t>
  </si>
  <si>
    <t>Ins Therapy</t>
  </si>
  <si>
    <t>Insurance Sequestration – Pt B</t>
  </si>
  <si>
    <t>Bed Hold</t>
  </si>
  <si>
    <t>CY Medicaid Prior Period Adjustments</t>
  </si>
  <si>
    <t>PY Medicaid Prior Period Adjustments</t>
  </si>
  <si>
    <t>CY Medicare R&amp;B Prior Period Adjustments</t>
  </si>
  <si>
    <t>PY Medicare R&amp;B Prior Period Adjustments</t>
  </si>
  <si>
    <t>CY PVT Pay R&amp;B Prior Period Adjustments</t>
  </si>
  <si>
    <t>PY PVT Pay R&amp;B Prior Period Adjustments</t>
  </si>
  <si>
    <t>CY Ins Prior Period Adjustments</t>
  </si>
  <si>
    <t>PY Ins Prior Period Adjustments</t>
  </si>
  <si>
    <t>CY Other Prior Period Adjustments (Hospice)</t>
  </si>
  <si>
    <t>PY Other Prior Period Adjustments (Hospice)</t>
  </si>
  <si>
    <t>CY Bed Hold Prior Period Adjustments</t>
  </si>
  <si>
    <t>PY Bed Hold Prior Period Adjustments</t>
  </si>
  <si>
    <t>Total Patient Revenue</t>
  </si>
  <si>
    <t>Meals Employees &amp; Guests</t>
  </si>
  <si>
    <t>Rental of Facility Space</t>
  </si>
  <si>
    <t>Interest Sources</t>
  </si>
  <si>
    <t>Barber and Beauty Shop</t>
  </si>
  <si>
    <t>Vending Revenue</t>
  </si>
  <si>
    <t>Rebates</t>
  </si>
  <si>
    <t>Personal Services</t>
  </si>
  <si>
    <t>Other Services</t>
  </si>
  <si>
    <t>Administration Fee</t>
  </si>
  <si>
    <t>House Rental</t>
  </si>
  <si>
    <t>Late Charge Income</t>
  </si>
  <si>
    <t>Settlement Income</t>
  </si>
  <si>
    <t>MCD Settlement Inc.</t>
  </si>
  <si>
    <t>Medicaid QIPP</t>
  </si>
  <si>
    <t>Medical Records</t>
  </si>
  <si>
    <t>Contra Allow - MXA</t>
  </si>
  <si>
    <t>Total Other Revenue</t>
  </si>
  <si>
    <t>Total Revenue</t>
  </si>
  <si>
    <t>Operating Expenses</t>
  </si>
  <si>
    <t>DON Salaries</t>
  </si>
  <si>
    <t>DON Bonus</t>
  </si>
  <si>
    <t>RN Bonus</t>
  </si>
  <si>
    <t>RN Corp Allocation</t>
  </si>
  <si>
    <t>LVN Bonus</t>
  </si>
  <si>
    <t>LPN Salaries</t>
  </si>
  <si>
    <t>LVN Corp Allocation</t>
  </si>
  <si>
    <t>Med Aides Bonus</t>
  </si>
  <si>
    <t>Nurse Aides Bonus</t>
  </si>
  <si>
    <t>Agency / Nursing Contract Wages</t>
  </si>
  <si>
    <t>Nursing Forms</t>
  </si>
  <si>
    <t>Nursing Supplies</t>
  </si>
  <si>
    <t>Enteral Therapy Expense</t>
  </si>
  <si>
    <t>Oxygen Expense</t>
  </si>
  <si>
    <t>Incontinence Supplies</t>
  </si>
  <si>
    <t>Other Claims Paid</t>
  </si>
  <si>
    <t>Consolidated BIlling Services</t>
  </si>
  <si>
    <t>Medical Director</t>
  </si>
  <si>
    <t>Pharmacist</t>
  </si>
  <si>
    <t>Total Consultants</t>
  </si>
  <si>
    <t>Training - Nursing Staff</t>
  </si>
  <si>
    <t>Chaplain Salaries</t>
  </si>
  <si>
    <t>Activity Director Bonus</t>
  </si>
  <si>
    <t>Activity Assistant Bonus</t>
  </si>
  <si>
    <t>Resident Entertainment</t>
  </si>
  <si>
    <t>Activity Services Supplies</t>
  </si>
  <si>
    <t>Total Training &amp; Activities</t>
  </si>
  <si>
    <t>Therapy Supplies</t>
  </si>
  <si>
    <t>Wound Vac Expenses</t>
  </si>
  <si>
    <t>Dental Claims Paid</t>
  </si>
  <si>
    <t>Non-Emergency Transportation</t>
  </si>
  <si>
    <t>Pass-Thru Pharmacy</t>
  </si>
  <si>
    <t xml:space="preserve">Backup Pharmacy Costs         </t>
  </si>
  <si>
    <t xml:space="preserve">Pharmacy Supplies             </t>
  </si>
  <si>
    <t>Lab Services</t>
  </si>
  <si>
    <t>Dialysis Services</t>
  </si>
  <si>
    <t>Equipment Rental</t>
  </si>
  <si>
    <t>Total Ancillaries</t>
  </si>
  <si>
    <t>Total Laundry &amp; Housekeeping</t>
  </si>
  <si>
    <t>Total Dietary Expenses</t>
  </si>
  <si>
    <t>Natural Gas</t>
  </si>
  <si>
    <t>Internet</t>
  </si>
  <si>
    <t>Cable TV</t>
  </si>
  <si>
    <t>Garbage Disposal</t>
  </si>
  <si>
    <t>Hazard Waste Disposal</t>
  </si>
  <si>
    <t>Auto Allowance</t>
  </si>
  <si>
    <t>Pest Control</t>
  </si>
  <si>
    <t>Security Services</t>
  </si>
  <si>
    <t>Outside Services</t>
  </si>
  <si>
    <t>Landscaping</t>
  </si>
  <si>
    <t>Total Operation &amp; Maintenance</t>
  </si>
  <si>
    <t>Patient Trust Fund Bond</t>
  </si>
  <si>
    <t>Marketing Supplies</t>
  </si>
  <si>
    <t>Software Support &amp; Licensing</t>
  </si>
  <si>
    <t>MIS Equipment Purchase &amp; Repair</t>
  </si>
  <si>
    <t>Office Supplies</t>
  </si>
  <si>
    <t>Postage, Delivery &amp; Freight</t>
  </si>
  <si>
    <t>Subscriptions</t>
  </si>
  <si>
    <t>Facility License</t>
  </si>
  <si>
    <t>Printing</t>
  </si>
  <si>
    <t>Printing Overage</t>
  </si>
  <si>
    <t>Bank Service Charges</t>
  </si>
  <si>
    <t>Computerized Physician Orders</t>
  </si>
  <si>
    <t>Over/Short Cash</t>
  </si>
  <si>
    <t>Late Fees &amp; Finance Charges</t>
  </si>
  <si>
    <t>Donations</t>
  </si>
  <si>
    <t>Employee Relations</t>
  </si>
  <si>
    <t>Drug Screen</t>
  </si>
  <si>
    <t>PY Adj Non-Negotiable Trans</t>
  </si>
  <si>
    <t>Sales &amp; Use Tax Expense</t>
  </si>
  <si>
    <t>% of Bad Debt</t>
  </si>
  <si>
    <t>Total Management Fee (5%)</t>
  </si>
  <si>
    <t>Employee Uniforms</t>
  </si>
  <si>
    <t>Employee Recruitment</t>
  </si>
  <si>
    <t>Total Workers Comp &amp; Employee Benefits</t>
  </si>
  <si>
    <t>EBITDAR MARGIN %</t>
  </si>
  <si>
    <t>Facility Lease</t>
  </si>
  <si>
    <t>Lease Coverage Ratio</t>
  </si>
  <si>
    <t>EBITDA</t>
  </si>
  <si>
    <t>Franchise Tax</t>
  </si>
  <si>
    <t>Interest Expense</t>
  </si>
  <si>
    <t>Depreciation</t>
  </si>
  <si>
    <t>Start Up Cost</t>
  </si>
  <si>
    <t>Deferred Lease Expense</t>
  </si>
  <si>
    <t>Net Income</t>
  </si>
  <si>
    <t>(Prelim.Unaudited Stmt - For Management Use Only)</t>
  </si>
  <si>
    <t>Catalog:YTD PL trailg- Sabra Consolidated</t>
  </si>
  <si>
    <t xml:space="preserve">Row:PLrow AnyCOLumnD-Current  Col:Trailer 12 #,### </t>
  </si>
  <si>
    <t>Tree:Portfolio Sabra tree</t>
  </si>
  <si>
    <t>TENANT FINANCIALS</t>
  </si>
  <si>
    <t>Revenues</t>
  </si>
  <si>
    <t xml:space="preserve">BPC Reconciliation </t>
  </si>
  <si>
    <t>Census</t>
  </si>
  <si>
    <t>EBITDARM Coverage</t>
  </si>
  <si>
    <t>BPC</t>
  </si>
  <si>
    <t>Variance</t>
  </si>
  <si>
    <t>Comments:</t>
  </si>
  <si>
    <t>Rent</t>
  </si>
  <si>
    <t>Management Fee</t>
  </si>
  <si>
    <t>Apr 2018</t>
  </si>
  <si>
    <t>May 2018</t>
  </si>
  <si>
    <t>Jun 2018</t>
  </si>
  <si>
    <t>Rent-Sales-Commissions</t>
  </si>
  <si>
    <t>RN Salaries</t>
  </si>
  <si>
    <t>LVN Salaries</t>
  </si>
  <si>
    <t>Med Aides Salaries</t>
  </si>
  <si>
    <t>Nurse Aides Salaries</t>
  </si>
  <si>
    <t>Restorative Aide Salaries</t>
  </si>
  <si>
    <t>Restorative Aide Bonus</t>
  </si>
  <si>
    <t>Nursing- PTO/Holiday</t>
  </si>
  <si>
    <t>Nursing- PTO Accrual</t>
  </si>
  <si>
    <t>Nursing- Insurance</t>
  </si>
  <si>
    <t>Nursing- Payroll Taxes</t>
  </si>
  <si>
    <t>Pharm House Stock/OTC</t>
  </si>
  <si>
    <t>Pharmacy- Uncollectible Accts</t>
  </si>
  <si>
    <t>Pharmacy- RX E-kits no Document</t>
  </si>
  <si>
    <t>Total Nursing</t>
  </si>
  <si>
    <t>Training- Online</t>
  </si>
  <si>
    <t>Training- Nurse Aid Class Supplies</t>
  </si>
  <si>
    <t>Training- Nurse Aide Class Fee</t>
  </si>
  <si>
    <t>Social Services- Salaries</t>
  </si>
  <si>
    <t>Cert Transportation Aide- Salaries</t>
  </si>
  <si>
    <t>Non-Cert Transportation Aide- Salaries</t>
  </si>
  <si>
    <t>Social Services- Bonus</t>
  </si>
  <si>
    <t>Activity Director Salaries</t>
  </si>
  <si>
    <t>Activity Assistant Director Salaries</t>
  </si>
  <si>
    <t>Training, Soc Services, Activity- PTO/Holiday</t>
  </si>
  <si>
    <t>Training, Soc Services, Activity- PTO Accrual</t>
  </si>
  <si>
    <t>Training, Soc Services, Activity- Insurance</t>
  </si>
  <si>
    <t>Training, Soc Services, Activity- PayrolTaxes</t>
  </si>
  <si>
    <t>Therapy Services- Part A</t>
  </si>
  <si>
    <t>Therapy Services- Part B</t>
  </si>
  <si>
    <t>Therapy Services- Managed Care</t>
  </si>
  <si>
    <t>Respiratory Therapy- Salaries</t>
  </si>
  <si>
    <t>Respiratory Therapy- Supplies</t>
  </si>
  <si>
    <t>Respiratory Therapy- PTO/Holiday</t>
  </si>
  <si>
    <t>Respiratory Therapy- PTO Accrual</t>
  </si>
  <si>
    <t>Respiratory Therapy- Insurance</t>
  </si>
  <si>
    <t>Respiratory Therapy- Payroll Taxes</t>
  </si>
  <si>
    <t>IV Therapy- Services</t>
  </si>
  <si>
    <t>IV Therapy- Medicaid</t>
  </si>
  <si>
    <t>IV Therapy- Part A</t>
  </si>
  <si>
    <t>IV Therapy- Managed Care</t>
  </si>
  <si>
    <t>Pharmacy Services- Managed Care</t>
  </si>
  <si>
    <t>Pharmacy Services- Part A</t>
  </si>
  <si>
    <t>Pharmacy Services- Part B</t>
  </si>
  <si>
    <t>Pharmacy Services- Medicaid &amp; Private Pay Not Covered</t>
  </si>
  <si>
    <t>Radiology- Services</t>
  </si>
  <si>
    <t>Radiology- Other</t>
  </si>
  <si>
    <t>Ancillaries D.M.E. &amp; Other Medical Equipment</t>
  </si>
  <si>
    <t>Lease- Respiratory Equipment</t>
  </si>
  <si>
    <t>Laundry- Salaries</t>
  </si>
  <si>
    <t>Laundry- Contract</t>
  </si>
  <si>
    <t>Laundry- Supplies</t>
  </si>
  <si>
    <t>Laundry- Mattress/New Linens</t>
  </si>
  <si>
    <t>Housekeeping- Salaries</t>
  </si>
  <si>
    <t>Housekeeping- Contract</t>
  </si>
  <si>
    <t>Housekeeping- Supplies</t>
  </si>
  <si>
    <t>Laundry &amp; Housekeeping- Bonus</t>
  </si>
  <si>
    <t>Laundry &amp; Housekeeping- PTO/Holiday</t>
  </si>
  <si>
    <t>Laundry &amp; Housekeeping- PTO Accrual</t>
  </si>
  <si>
    <t>Laundry &amp; Housekeeping- Insurance</t>
  </si>
  <si>
    <t>Laundry &amp; Housekeeping- Payroll Taxes</t>
  </si>
  <si>
    <t>Dietary- FSS Salaries</t>
  </si>
  <si>
    <t>Dietary- Corp Allocation FSS</t>
  </si>
  <si>
    <t>Dietary- Other Dietary Salaries</t>
  </si>
  <si>
    <t>Dietary- Bonus</t>
  </si>
  <si>
    <t>Dietary- PTO/Holiday</t>
  </si>
  <si>
    <t>Dietary- PTO Accrual</t>
  </si>
  <si>
    <t>Dietary- Insurance</t>
  </si>
  <si>
    <t>Dietary- Payroll Taxes</t>
  </si>
  <si>
    <t>Dietary- Food</t>
  </si>
  <si>
    <t>Dietary- Supplements</t>
  </si>
  <si>
    <t>Dietary- Enteral Therapy Supplements</t>
  </si>
  <si>
    <t>Dietary- Thickener</t>
  </si>
  <si>
    <t>Dietary- Supplies</t>
  </si>
  <si>
    <t>Dietary- Contract</t>
  </si>
  <si>
    <t>Dietary- Miscellaneous</t>
  </si>
  <si>
    <t>Dietary- Equipment Lease</t>
  </si>
  <si>
    <t>Dietary- Utensil</t>
  </si>
  <si>
    <t>Dietary- China Flat Ware</t>
  </si>
  <si>
    <t>Lease -Other Equipment</t>
  </si>
  <si>
    <t>Lease- Transportation</t>
  </si>
  <si>
    <t>Lease- Rental Property</t>
  </si>
  <si>
    <t>Lease- Copier</t>
  </si>
  <si>
    <t>Lease- Time Clock</t>
  </si>
  <si>
    <t>Lease- Storage Building</t>
  </si>
  <si>
    <t>Taxes- Advalorem</t>
  </si>
  <si>
    <t>Insurance-Building Cont Ground</t>
  </si>
  <si>
    <t>Insurance- Transportation</t>
  </si>
  <si>
    <t>Insurance- Other</t>
  </si>
  <si>
    <t>Insurance- Surety Bond-Res Fund</t>
  </si>
  <si>
    <t>Total Building &amp; Equipment</t>
  </si>
  <si>
    <t>Maintenance- Salaries</t>
  </si>
  <si>
    <t>Maintenance- Bonus</t>
  </si>
  <si>
    <t>Maintenance- PTO/Holiday</t>
  </si>
  <si>
    <t>Maintenance- PTO Accrual</t>
  </si>
  <si>
    <t>Maintenance- Insurance</t>
  </si>
  <si>
    <t>Maintenance- Payroll Taxes</t>
  </si>
  <si>
    <t>Water &amp; Wastewater</t>
  </si>
  <si>
    <t xml:space="preserve">Telephone- Wireless </t>
  </si>
  <si>
    <t>Telephone- Landline</t>
  </si>
  <si>
    <t>R &amp; M- Supplies</t>
  </si>
  <si>
    <t>R &amp; M- Building</t>
  </si>
  <si>
    <t>R &amp; M- Equipment</t>
  </si>
  <si>
    <t>R &amp; M- Transportation Equipment</t>
  </si>
  <si>
    <t>Gasoline &amp; Oil Motor Vehicle</t>
  </si>
  <si>
    <t>Administrator Salaries</t>
  </si>
  <si>
    <t>Assist Administrator Salaries</t>
  </si>
  <si>
    <t>Medical Records Salaries</t>
  </si>
  <si>
    <t>Professional/Clerical Salaries</t>
  </si>
  <si>
    <t>Marketing Salaries</t>
  </si>
  <si>
    <t>Administrative- Overtime</t>
  </si>
  <si>
    <t>Administrative- Bonuses</t>
  </si>
  <si>
    <t>Administrative- PTO/Holiday</t>
  </si>
  <si>
    <t>Administrative- PTO Accrual</t>
  </si>
  <si>
    <t>Administrative- Insurance</t>
  </si>
  <si>
    <t>Administrative- Payroll Taxes</t>
  </si>
  <si>
    <t>Administrative- Contract Labor</t>
  </si>
  <si>
    <t>Insurance- General Liability</t>
  </si>
  <si>
    <t>Insurance- Professional Malpractice</t>
  </si>
  <si>
    <t>Advertising- Employment</t>
  </si>
  <si>
    <t>Advertising-  Public Relations</t>
  </si>
  <si>
    <t>Advertising- Assisted Living Center</t>
  </si>
  <si>
    <t>Travel &amp; Entertainment - Travel</t>
  </si>
  <si>
    <t>Travel &amp; Entertainment - Resident Care Seminars</t>
  </si>
  <si>
    <t>Travel &amp; Entertainment - Business Meals</t>
  </si>
  <si>
    <t>Dues- Healthcare Associations</t>
  </si>
  <si>
    <t>Dues- Other</t>
  </si>
  <si>
    <t>Fees- Payroll Processing</t>
  </si>
  <si>
    <t>Fees- Accounting</t>
  </si>
  <si>
    <t>Fees- Legal</t>
  </si>
  <si>
    <t>Fees- Administrative Fines &amp; Penalties</t>
  </si>
  <si>
    <t>Fees- Appraisal</t>
  </si>
  <si>
    <t>Fees- Management Consulting</t>
  </si>
  <si>
    <t>Medical Records Consultant</t>
  </si>
  <si>
    <t>Employee Background Checks</t>
  </si>
  <si>
    <t>Total Administrative</t>
  </si>
  <si>
    <t>Total Uncollectable</t>
  </si>
  <si>
    <t>Employee Injuries-Physician Fees/Other Medical/Lawsuits</t>
  </si>
  <si>
    <t>OSHA- Hepatitis Supplies</t>
  </si>
  <si>
    <t>Employee Gifts &amp; Awards</t>
  </si>
  <si>
    <t>Total Operating Expense</t>
  </si>
  <si>
    <t>Total Non-Operating Expense</t>
  </si>
  <si>
    <t>10/29/2018 2:17 PM</t>
  </si>
  <si>
    <t>For the Nine Months Ending Sunday, September 30, 2018</t>
  </si>
  <si>
    <t>Jul 2018</t>
  </si>
  <si>
    <t>Aug 2018</t>
  </si>
  <si>
    <t>Sep 2018</t>
  </si>
  <si>
    <t>Independent Living Units</t>
  </si>
  <si>
    <t>Respiratory Therapy- Bonus</t>
  </si>
  <si>
    <t>Gain/Loss on Asset</t>
  </si>
  <si>
    <t>Oct 2018</t>
  </si>
  <si>
    <t>Oxygen</t>
  </si>
  <si>
    <t>Dec - Current</t>
  </si>
  <si>
    <t>Dec - Previous</t>
  </si>
  <si>
    <t>Expenses</t>
  </si>
  <si>
    <t>Previous (Q3) Recon Difference</t>
  </si>
  <si>
    <t>Own-Mgd</t>
  </si>
  <si>
    <t>(Multiple Items)</t>
  </si>
  <si>
    <t>System</t>
  </si>
  <si>
    <t>source</t>
  </si>
  <si>
    <t>AHT/PCC Aging</t>
  </si>
  <si>
    <t>AHT/PCC Cash Receipts</t>
  </si>
  <si>
    <t>Manual Calc</t>
  </si>
  <si>
    <t>Trial Balance</t>
  </si>
  <si>
    <t>unposted</t>
  </si>
  <si>
    <t>Sum of Balance</t>
  </si>
  <si>
    <t>2018 Cash Receipts for DOS prior to 2018</t>
  </si>
  <si>
    <t>Net AR</t>
  </si>
  <si>
    <t>Allowance</t>
  </si>
  <si>
    <t>Staffing Enhancement</t>
  </si>
  <si>
    <t>2016 Additional</t>
  </si>
  <si>
    <t>2017 Additional</t>
  </si>
  <si>
    <t>Loc #</t>
  </si>
  <si>
    <t>Facility</t>
  </si>
  <si>
    <t>12/31/17 AR</t>
  </si>
  <si>
    <t>12/31/17 AR less cash</t>
  </si>
  <si>
    <t>as of 12/31/17</t>
  </si>
  <si>
    <t>Adjustment</t>
  </si>
  <si>
    <t>Liability Adjustment</t>
  </si>
  <si>
    <t>AR Recon</t>
  </si>
  <si>
    <t>Vision AR Adjustments</t>
  </si>
  <si>
    <t>TOTAL ADJUSTMENT</t>
  </si>
  <si>
    <t>2016 &gt; 360</t>
  </si>
  <si>
    <t>2016 Reserve</t>
  </si>
  <si>
    <t>Reserve Required</t>
  </si>
  <si>
    <t>Hill Country Care (20)</t>
  </si>
  <si>
    <t>Senior Care of Jacksonville (21)</t>
  </si>
  <si>
    <t>Senior Care of Midland (22)</t>
  </si>
  <si>
    <t>Pecan Tree (23)</t>
  </si>
  <si>
    <t>Senior Care of San Angelo (24)</t>
  </si>
  <si>
    <t>Senior Care of Onion Creek (31)</t>
  </si>
  <si>
    <t>Alief SCC LLC (151)</t>
  </si>
  <si>
    <t>Bandera SCC LLC (152)</t>
  </si>
  <si>
    <t>Baytown SCC LLC (153)</t>
  </si>
  <si>
    <t>Capitol SCC LLC (154)</t>
  </si>
  <si>
    <t>Cedar Bayou SCC LLC (155)</t>
  </si>
  <si>
    <t>Mill Forest Road SCC LLC (157)</t>
  </si>
  <si>
    <t>Mystic Park SCC LLC (158)</t>
  </si>
  <si>
    <t>Pasadena SCC LLC (159)</t>
  </si>
  <si>
    <t>Presidential SCC LLC (160)</t>
  </si>
  <si>
    <t>Riverside SCC LLC (161)</t>
  </si>
  <si>
    <t>South Oaks SCC LLC (162)</t>
  </si>
  <si>
    <t>West Oaks SCC LLC (163)</t>
  </si>
  <si>
    <t>TCC River Ridge (168)</t>
  </si>
  <si>
    <t>TCC Westwood (169)</t>
  </si>
  <si>
    <t>Heritage Oaks Retirement Villa (170)</t>
  </si>
  <si>
    <t>Heritage Oaks West Retirement (171)</t>
  </si>
  <si>
    <t>Trisun Care Center - Northeast El Paso (174)</t>
  </si>
  <si>
    <t>Summer Place Nursing and Rehab (179)</t>
  </si>
  <si>
    <t>The Meadows Nursing and Rehab (180)</t>
  </si>
  <si>
    <t>Cypress Glen Nursing and Rehab (181)</t>
  </si>
  <si>
    <t>Lake Arthur Place (182)</t>
  </si>
  <si>
    <t>TCC Coastal Palms (190)</t>
  </si>
  <si>
    <t>Trisun Care Center Lakeside(191)</t>
  </si>
  <si>
    <t>Alpine Guest Care (193)</t>
  </si>
  <si>
    <t>The Bradford (194)</t>
  </si>
  <si>
    <t>SCC of Booker T. Washington Rehabilitation Center (195)</t>
  </si>
  <si>
    <t>SCC of Colonial Oaks Rehabilitation Center (196)</t>
  </si>
  <si>
    <t>The Guest Care at Spring Lake (198)</t>
  </si>
  <si>
    <t>The Guest House (199)</t>
  </si>
  <si>
    <t>Pilgrim Manor(200)</t>
  </si>
  <si>
    <t>Shreveport Manor (201)</t>
  </si>
  <si>
    <t>Heritage Oaks RV ALFB and ILF (302)</t>
  </si>
  <si>
    <t>Lakeside Assisted Living(309)</t>
  </si>
  <si>
    <t>The Gables at Spring Lake LLC (310)</t>
  </si>
  <si>
    <t>Grand Total</t>
  </si>
  <si>
    <t>2/26/2019 2:16 PM</t>
  </si>
  <si>
    <t>For the Eleven Months Ending November 30, 2018</t>
  </si>
  <si>
    <t>Nov 2018</t>
  </si>
  <si>
    <t>STAT ACCOUNTS OUT OF BALANCE</t>
  </si>
  <si>
    <t>One</t>
  </si>
  <si>
    <t>Licensed Beds - 929999</t>
  </si>
  <si>
    <t>Operating Beds - 919999</t>
  </si>
  <si>
    <t>Operating Beds - Per Month - 919998</t>
  </si>
  <si>
    <t>Operating Beds - Per Month</t>
  </si>
  <si>
    <t>Independent Living Units - 919997</t>
  </si>
  <si>
    <t>Days - 939999</t>
  </si>
  <si>
    <t>Dummy - 999108</t>
  </si>
  <si>
    <t>Totals Days in Month</t>
  </si>
  <si>
    <t>PTMCD</t>
  </si>
  <si>
    <t>PTMCDPEND</t>
  </si>
  <si>
    <t>TOTPTMCD</t>
  </si>
  <si>
    <t>PTCBA</t>
  </si>
  <si>
    <t>PTMCR</t>
  </si>
  <si>
    <t>PTINS</t>
  </si>
  <si>
    <t>PTPVT</t>
  </si>
  <si>
    <t>PTALF</t>
  </si>
  <si>
    <t>PTHOS</t>
  </si>
  <si>
    <t>PTBH</t>
  </si>
  <si>
    <t>Adjusted Pt Days Prior Periods (MCD,MCare,PVT, Ins,VA,Hospice,Bed hold)</t>
  </si>
  <si>
    <t>Patient Days - Current</t>
  </si>
  <si>
    <t>PT DAYS Check</t>
  </si>
  <si>
    <t>Patient Days Medicaid + Patient Days PVT Pay</t>
  </si>
  <si>
    <t>Patient Days MCR + Patient Days Insurance</t>
  </si>
  <si>
    <t>MCD</t>
  </si>
  <si>
    <t>MCD Pending</t>
  </si>
  <si>
    <t>MCR R&amp;B</t>
  </si>
  <si>
    <t>MCR Part A</t>
  </si>
  <si>
    <t>Medicare Part B</t>
  </si>
  <si>
    <t>MCR Sequestration Part B</t>
  </si>
  <si>
    <t>Other Ancillary Part B</t>
  </si>
  <si>
    <t>Rentals</t>
  </si>
  <si>
    <t>Gain on Sale of Asset</t>
  </si>
  <si>
    <t>RN Consultant</t>
  </si>
  <si>
    <t>Bad Debt Expense</t>
  </si>
  <si>
    <t>Management Fees</t>
  </si>
  <si>
    <t>EE Injuries-Physician Fees/Other Med Fees/-Medications/Lost Time Pmts/Lawsuit Pmts</t>
  </si>
  <si>
    <t>Employee Injuries/Casualty Insurance</t>
  </si>
  <si>
    <t>REVENUE</t>
  </si>
  <si>
    <t>EXPENSES</t>
  </si>
  <si>
    <t>Net Income Check</t>
  </si>
  <si>
    <t>Nursing Metrics :</t>
  </si>
  <si>
    <t>RN Total Hours Worked (Reg. + OT)</t>
  </si>
  <si>
    <t>RN Mgmt Total Hours Worked (Reg. + OT)</t>
  </si>
  <si>
    <t>LVN Total Hours Worked (Reg. + OT)</t>
  </si>
  <si>
    <t>LVN Mgmt Total Hours Worked (Reg. + OT)</t>
  </si>
  <si>
    <t>Med Aides Total Hours Worked (Reg. + OT)</t>
  </si>
  <si>
    <t>Nurse Aides Total Hours Worked (Reg. + OT)</t>
  </si>
  <si>
    <t>Restorative Aides Total Hours Worked (Reg. + OT)</t>
  </si>
  <si>
    <t>Agency Total Hours Worked (Reg. + OT)</t>
  </si>
  <si>
    <t>Total Nursing Hours Worked (Reg. + OT)</t>
  </si>
  <si>
    <t>RN Salaries + Overtime</t>
  </si>
  <si>
    <t>RN Mgmt Salaries + Overtime</t>
  </si>
  <si>
    <t>LVN Salaries + Overtime</t>
  </si>
  <si>
    <t>LVN Mgmt Salaries + Overtime</t>
  </si>
  <si>
    <t>Med Aides Salaries + Overtime</t>
  </si>
  <si>
    <t>Nurse Aides Salaries + Overtime</t>
  </si>
  <si>
    <t>Restorative Aides Salaries + Overtime</t>
  </si>
  <si>
    <t>Agency Dollars</t>
  </si>
  <si>
    <t>Total Nursing Salary Dollars</t>
  </si>
  <si>
    <t>RN Rate per Hour</t>
  </si>
  <si>
    <t>RN Mgmt Rate per Hour</t>
  </si>
  <si>
    <t>LVN Rate per Hour</t>
  </si>
  <si>
    <t>LVN Mgmt Rate per Hour</t>
  </si>
  <si>
    <t>Med Aides Rate per Hour</t>
  </si>
  <si>
    <t>Nurse Aides Rate per Hour</t>
  </si>
  <si>
    <t>Restorative Aide Rate per Hour</t>
  </si>
  <si>
    <t>Agency / Nursing Contract Rate per Hour</t>
  </si>
  <si>
    <t>Total Nursing Rate per hour</t>
  </si>
  <si>
    <t>Regular Hours</t>
  </si>
  <si>
    <t>Overtime Hours</t>
  </si>
  <si>
    <t>PTO Hours</t>
  </si>
  <si>
    <t>Total Employee Hours - All Departments</t>
  </si>
  <si>
    <t>SHC of Whitesburg Gardens</t>
  </si>
  <si>
    <t>SHC of Terre Haute</t>
  </si>
  <si>
    <t>SHC at Larkin Springs</t>
  </si>
  <si>
    <t>SHC of Savannah</t>
  </si>
  <si>
    <t>SHC of Bluffton</t>
  </si>
  <si>
    <t>SHC of Bowling Green</t>
  </si>
  <si>
    <t>Oakview Nursing and Rehabilitation Center</t>
  </si>
  <si>
    <t>Fountain Circle Care and Rehabilitation Center</t>
  </si>
  <si>
    <t>Riverside Care &amp; Rehabilitation Center</t>
  </si>
  <si>
    <t>SHC of Bremen</t>
  </si>
  <si>
    <t>SHC of Muncie</t>
  </si>
  <si>
    <t>SHC at Parkwood</t>
  </si>
  <si>
    <t>SHC at Tower Road</t>
  </si>
  <si>
    <t>Danville Centre for Health and Rehabilitation</t>
  </si>
  <si>
    <t>SHC at Hillcrest</t>
  </si>
  <si>
    <t>SHC of Elizabethtown</t>
  </si>
  <si>
    <t>SHC of Primacy</t>
  </si>
  <si>
    <t>SHC of Harbour Pointe</t>
  </si>
  <si>
    <t>Harrodsburg Health &amp; Rehabilitation Center</t>
  </si>
  <si>
    <t>SHC of Putnam County</t>
  </si>
  <si>
    <t>SHC of Fayette County</t>
  </si>
  <si>
    <t>SHC of Warren</t>
  </si>
  <si>
    <t>SHC of Galion</t>
  </si>
  <si>
    <t>SHC of Roanoke Rapids</t>
  </si>
  <si>
    <t>SHC of Kinston</t>
  </si>
  <si>
    <t>Gastonia Care and Rehabilitation</t>
  </si>
  <si>
    <t>SHC of Chapel Hill</t>
  </si>
  <si>
    <t>SHC of Chillicothe</t>
  </si>
  <si>
    <t>SHC of Coshocton</t>
  </si>
  <si>
    <t>SHC of Bloomsburg Rehab &amp; Wellness Center</t>
  </si>
  <si>
    <t>SHC of McCreary County Rehab &amp; Wellness Center</t>
  </si>
  <si>
    <t>SHC at Colonial Rehab &amp; Wellness Center</t>
  </si>
  <si>
    <t>SHC of Glasgow Rehab &amp; Wellness Center</t>
  </si>
  <si>
    <t>SHC of Carrollton Rehab &amp; Wellness Center</t>
  </si>
  <si>
    <t>SHC of Hart County Rehab &amp; Wellness Center</t>
  </si>
  <si>
    <t>SHC at Heritage Hall Rehab &amp; Wellness Center</t>
  </si>
  <si>
    <t>SHC at Jackson Manor Rehab &amp; Wellness Center</t>
  </si>
  <si>
    <t>SHC at Jefferson Manor Rehab &amp; Wellness Center</t>
  </si>
  <si>
    <t>SHC at Jefferson Place Rehab &amp; Wellness Center</t>
  </si>
  <si>
    <t>SHC of Monroe County Rehab &amp; Wellness Center</t>
  </si>
  <si>
    <t>SHC at North Hardin Rehab &amp; Wellness Center</t>
  </si>
  <si>
    <t>SHC of Hartford Rehab &amp; Wellness Center</t>
  </si>
  <si>
    <t>SHC at Rockford Rehab &amp; Wellness Center</t>
  </si>
  <si>
    <t>SHC at Summerfield Rehab &amp; Wellness Center</t>
  </si>
  <si>
    <t>SHC at Tanbark Rehab &amp; Welllness Center</t>
  </si>
  <si>
    <t>SHC at Summit Manor Rehab &amp; Wellness Center</t>
  </si>
  <si>
    <t>Meadowview Health &amp; Rehabilitation Center</t>
  </si>
  <si>
    <t>SHC at Glenview</t>
  </si>
  <si>
    <t>Minerva Park Healthcare and Rehab Center</t>
  </si>
  <si>
    <t>Signature Healthcare</t>
  </si>
  <si>
    <t>Signature HealthCARE</t>
  </si>
  <si>
    <t>June</t>
  </si>
  <si>
    <t>July</t>
  </si>
  <si>
    <t>August</t>
  </si>
  <si>
    <t>September</t>
  </si>
  <si>
    <t>October</t>
  </si>
  <si>
    <t>November</t>
  </si>
  <si>
    <t>December</t>
  </si>
  <si>
    <t>January</t>
  </si>
  <si>
    <t>February</t>
  </si>
  <si>
    <t>March</t>
  </si>
  <si>
    <t>April</t>
  </si>
  <si>
    <t>May</t>
  </si>
  <si>
    <t>TTM</t>
  </si>
  <si>
    <t>$</t>
  </si>
  <si>
    <t>PRIVATE</t>
  </si>
  <si>
    <t>41000-001</t>
  </si>
  <si>
    <t>ROUTINE SERVICES</t>
  </si>
  <si>
    <t>44000-001</t>
  </si>
  <si>
    <t>MEDICAL SUPPLIES</t>
  </si>
  <si>
    <t>44050-001</t>
  </si>
  <si>
    <t>PHARMACY</t>
  </si>
  <si>
    <t>44100-001</t>
  </si>
  <si>
    <t>OXYGEN</t>
  </si>
  <si>
    <t>44200-001</t>
  </si>
  <si>
    <t>LABORATORY</t>
  </si>
  <si>
    <t>44250-001</t>
  </si>
  <si>
    <t>ROOM DIFFERENTIAL</t>
  </si>
  <si>
    <t>44300-001</t>
  </si>
  <si>
    <t>PHYSICAL THERAPY</t>
  </si>
  <si>
    <t>44350-001</t>
  </si>
  <si>
    <t>SPEECH THERAPY</t>
  </si>
  <si>
    <t>44400-001</t>
  </si>
  <si>
    <t>OCCUPATIONAL THERAPY</t>
  </si>
  <si>
    <t>44500-001</t>
  </si>
  <si>
    <t>EQUIPMENT RENTAL</t>
  </si>
  <si>
    <t>INCONTINENT SUPPLIES</t>
  </si>
  <si>
    <t>LAUNDRY</t>
  </si>
  <si>
    <t>TELEHEALTH</t>
  </si>
  <si>
    <t>45500-001</t>
  </si>
  <si>
    <t>OTC DRUGS</t>
  </si>
  <si>
    <t>TRANSPORTATION SERVICES</t>
  </si>
  <si>
    <t>45650-001</t>
  </si>
  <si>
    <t>X-RAY</t>
  </si>
  <si>
    <t>48000-001</t>
  </si>
  <si>
    <t>CONTRACTUAL ADJUST ROOM/BOARD</t>
  </si>
  <si>
    <t>48050-001</t>
  </si>
  <si>
    <t>CONTRACTUAL ADJUST-ANCILLARY</t>
  </si>
  <si>
    <t>48150-001</t>
  </si>
  <si>
    <t>CONTRACTUAL ADJUST PRIOR MONTH</t>
  </si>
  <si>
    <t>TOTAL PRIVATE</t>
  </si>
  <si>
    <t>MEDICARE PART A</t>
  </si>
  <si>
    <t>41000-005</t>
  </si>
  <si>
    <t>44000-005</t>
  </si>
  <si>
    <t>44050-005</t>
  </si>
  <si>
    <t>44100-005</t>
  </si>
  <si>
    <t>44200-005</t>
  </si>
  <si>
    <t>44300-005</t>
  </si>
  <si>
    <t>44350-005</t>
  </si>
  <si>
    <t>44400-005</t>
  </si>
  <si>
    <t>44500-005</t>
  </si>
  <si>
    <t>AMBULANCE</t>
  </si>
  <si>
    <t>45500-005</t>
  </si>
  <si>
    <t>45650-005</t>
  </si>
  <si>
    <t>48000-005</t>
  </si>
  <si>
    <t>48050-005</t>
  </si>
  <si>
    <t>48100-005</t>
  </si>
  <si>
    <t>CONTRACTUAL ADJUST-THERAPY</t>
  </si>
  <si>
    <t>48130-005</t>
  </si>
  <si>
    <t>CONTRACTUAL ADJUST-PROVIDER LIABILITY</t>
  </si>
  <si>
    <t>48135-005</t>
  </si>
  <si>
    <t>CONTRACTUAL ADJUST-SEQUESTRATION</t>
  </si>
  <si>
    <t>48140-005</t>
  </si>
  <si>
    <t>CONTRACTUAL ADJUST-DUAL ELIGIBLE</t>
  </si>
  <si>
    <t>48150-005</t>
  </si>
  <si>
    <t>TOTAL MEDICARE PART A</t>
  </si>
  <si>
    <t>MEDICARE PART B</t>
  </si>
  <si>
    <t>44300-007</t>
  </si>
  <si>
    <t>44350-007</t>
  </si>
  <si>
    <t>44400-007</t>
  </si>
  <si>
    <t>44650-007</t>
  </si>
  <si>
    <t>FLU SHOTS</t>
  </si>
  <si>
    <t>45260-007</t>
  </si>
  <si>
    <t>48000-007</t>
  </si>
  <si>
    <t>48050-007</t>
  </si>
  <si>
    <t>48100-007</t>
  </si>
  <si>
    <t>48135-007</t>
  </si>
  <si>
    <t>48150-007</t>
  </si>
  <si>
    <t>TOTAL MEDICARE PART B</t>
  </si>
  <si>
    <t>MANAGED MEDICARE PART B</t>
  </si>
  <si>
    <t>44300-022</t>
  </si>
  <si>
    <t>44350-022</t>
  </si>
  <si>
    <t>44400-022</t>
  </si>
  <si>
    <t>48000-022</t>
  </si>
  <si>
    <t>48100-022</t>
  </si>
  <si>
    <t>48135-022</t>
  </si>
  <si>
    <t>48150-022</t>
  </si>
  <si>
    <t>TOTAL MANAGED MEDICARE PART B</t>
  </si>
  <si>
    <t>MEDICAID SKILLED</t>
  </si>
  <si>
    <t>48000-009</t>
  </si>
  <si>
    <t>48150-009</t>
  </si>
  <si>
    <t>TOTAL MEDICAID SKILLED</t>
  </si>
  <si>
    <t>MEDICAID ICF</t>
  </si>
  <si>
    <t>41000-011</t>
  </si>
  <si>
    <t>44000-011</t>
  </si>
  <si>
    <t>44050-011</t>
  </si>
  <si>
    <t>44100-011</t>
  </si>
  <si>
    <t>44200-011</t>
  </si>
  <si>
    <t>44300-011</t>
  </si>
  <si>
    <t>44350-011</t>
  </si>
  <si>
    <t>44400-011</t>
  </si>
  <si>
    <t>44500-011</t>
  </si>
  <si>
    <t>IV SUPPLIES</t>
  </si>
  <si>
    <t>45500-011</t>
  </si>
  <si>
    <t>45650-011</t>
  </si>
  <si>
    <t>48000-011</t>
  </si>
  <si>
    <t>48050-011</t>
  </si>
  <si>
    <t>48100-011</t>
  </si>
  <si>
    <t>48110-011</t>
  </si>
  <si>
    <t>CONTRACTUAL ADJUST IGT</t>
  </si>
  <si>
    <t>48150-011</t>
  </si>
  <si>
    <t>48200-011</t>
  </si>
  <si>
    <t>MEDICAID SETTLEMENT MEDICAID ICF</t>
  </si>
  <si>
    <t>TOTAL MEDICAID ICF</t>
  </si>
  <si>
    <t>MEDICAID PENDING</t>
  </si>
  <si>
    <t>41000-013</t>
  </si>
  <si>
    <t>44000-013</t>
  </si>
  <si>
    <t>44050-013</t>
  </si>
  <si>
    <t>44100-013</t>
  </si>
  <si>
    <t>44200-013</t>
  </si>
  <si>
    <t>44300-013</t>
  </si>
  <si>
    <t>44350-013</t>
  </si>
  <si>
    <t>44400-013</t>
  </si>
  <si>
    <t>44500-013</t>
  </si>
  <si>
    <t>44550-013</t>
  </si>
  <si>
    <t>45500-013</t>
  </si>
  <si>
    <t>45650-013</t>
  </si>
  <si>
    <t>48000-013</t>
  </si>
  <si>
    <t>48050-013</t>
  </si>
  <si>
    <t>48100-013</t>
  </si>
  <si>
    <t>48150-013</t>
  </si>
  <si>
    <t>TOTAL MEDICAID PENDING</t>
  </si>
  <si>
    <t>MANAGED MEDICARE LEVELS</t>
  </si>
  <si>
    <t>41000-003</t>
  </si>
  <si>
    <t>44000-003</t>
  </si>
  <si>
    <t>44050-003</t>
  </si>
  <si>
    <t>44100-003</t>
  </si>
  <si>
    <t>44200-003</t>
  </si>
  <si>
    <t>44300-003</t>
  </si>
  <si>
    <t>44350-003</t>
  </si>
  <si>
    <t>44400-003</t>
  </si>
  <si>
    <t>44500-003</t>
  </si>
  <si>
    <t>44550-003</t>
  </si>
  <si>
    <t>45500-003</t>
  </si>
  <si>
    <t>45650-003</t>
  </si>
  <si>
    <t>48000-003</t>
  </si>
  <si>
    <t>48050-003</t>
  </si>
  <si>
    <t>48100-003</t>
  </si>
  <si>
    <t>48135-003</t>
  </si>
  <si>
    <t>48150-003</t>
  </si>
  <si>
    <t>TOTAL MANAGED MEDICARE LEVELS</t>
  </si>
  <si>
    <t>CAPITATION PART A</t>
  </si>
  <si>
    <t>CAPITATION PART B</t>
  </si>
  <si>
    <t>44300-028</t>
  </si>
  <si>
    <t>TOTAL CAPITATION PART B</t>
  </si>
  <si>
    <t>HOSPICE</t>
  </si>
  <si>
    <t>41000-015</t>
  </si>
  <si>
    <t>44000-015</t>
  </si>
  <si>
    <t>44050-015</t>
  </si>
  <si>
    <t>44100-015</t>
  </si>
  <si>
    <t>44200-015</t>
  </si>
  <si>
    <t>44300-015</t>
  </si>
  <si>
    <t>44350-015</t>
  </si>
  <si>
    <t>44400-015</t>
  </si>
  <si>
    <t>44500-015</t>
  </si>
  <si>
    <t>45500-015</t>
  </si>
  <si>
    <t>45650-015</t>
  </si>
  <si>
    <t>48000-015</t>
  </si>
  <si>
    <t>48050-015</t>
  </si>
  <si>
    <t>48100-015</t>
  </si>
  <si>
    <t>48150-015</t>
  </si>
  <si>
    <t>TOTAL HOSPICE</t>
  </si>
  <si>
    <t>VA SKILLED</t>
  </si>
  <si>
    <t>VA ICF</t>
  </si>
  <si>
    <t>41000-019</t>
  </si>
  <si>
    <t>44050-019</t>
  </si>
  <si>
    <t>44350-019</t>
  </si>
  <si>
    <t>48000-019</t>
  </si>
  <si>
    <t>48050-019</t>
  </si>
  <si>
    <t>48100-019</t>
  </si>
  <si>
    <t>48150-019</t>
  </si>
  <si>
    <t>TOTAL VA ICF</t>
  </si>
  <si>
    <t>MANAGED MEDICARE RUGS</t>
  </si>
  <si>
    <t>41000-021</t>
  </si>
  <si>
    <t>44000-021</t>
  </si>
  <si>
    <t>44050-021</t>
  </si>
  <si>
    <t>44100-021</t>
  </si>
  <si>
    <t>44200-021</t>
  </si>
  <si>
    <t>44300-021</t>
  </si>
  <si>
    <t>44350-021</t>
  </si>
  <si>
    <t>44400-021</t>
  </si>
  <si>
    <t>44500-021</t>
  </si>
  <si>
    <t>44550-021</t>
  </si>
  <si>
    <t>45500-021</t>
  </si>
  <si>
    <t>45650-021</t>
  </si>
  <si>
    <t>48000-021</t>
  </si>
  <si>
    <t>48050-021</t>
  </si>
  <si>
    <t>48100-021</t>
  </si>
  <si>
    <t>48135-021</t>
  </si>
  <si>
    <t>48150-021</t>
  </si>
  <si>
    <t>TOTAL MANAGED MEDICARE RUGS</t>
  </si>
  <si>
    <t>MANAGED MEDICAID</t>
  </si>
  <si>
    <t>41000-023</t>
  </si>
  <si>
    <t>44050-023</t>
  </si>
  <si>
    <t>44100-023</t>
  </si>
  <si>
    <t>44200-023</t>
  </si>
  <si>
    <t>44300-023</t>
  </si>
  <si>
    <t>44350-023</t>
  </si>
  <si>
    <t>44400-023</t>
  </si>
  <si>
    <t>44500-023</t>
  </si>
  <si>
    <t>45500-023</t>
  </si>
  <si>
    <t>45650-023</t>
  </si>
  <si>
    <t>48000-023</t>
  </si>
  <si>
    <t>48050-023</t>
  </si>
  <si>
    <t>48100-023</t>
  </si>
  <si>
    <t>48150-023</t>
  </si>
  <si>
    <t>TOTAL MANAGED MEDICAID</t>
  </si>
  <si>
    <t>COMMERCIAL INSURANCE</t>
  </si>
  <si>
    <t>41000-024</t>
  </si>
  <si>
    <t>44000-024</t>
  </si>
  <si>
    <t>44050-024</t>
  </si>
  <si>
    <t>44100-024</t>
  </si>
  <si>
    <t>44200-024</t>
  </si>
  <si>
    <t>44300-024</t>
  </si>
  <si>
    <t>44350-024</t>
  </si>
  <si>
    <t>44400-024</t>
  </si>
  <si>
    <t>44500-024</t>
  </si>
  <si>
    <t>45500-024</t>
  </si>
  <si>
    <t>45650-024</t>
  </si>
  <si>
    <t>48000-024</t>
  </si>
  <si>
    <t>48050-024</t>
  </si>
  <si>
    <t>48100-024</t>
  </si>
  <si>
    <t>48150-024</t>
  </si>
  <si>
    <t>TOTAL COMMERCIAL INS</t>
  </si>
  <si>
    <t>OUTPATIENT SERVICES</t>
  </si>
  <si>
    <t>44300-025</t>
  </si>
  <si>
    <t>44350-025</t>
  </si>
  <si>
    <t>44400-025</t>
  </si>
  <si>
    <t>48100-025</t>
  </si>
  <si>
    <t>48150-025</t>
  </si>
  <si>
    <t>TOTAL OUTPATIENT SERVICES</t>
  </si>
  <si>
    <t>PERSONAL CARE</t>
  </si>
  <si>
    <t>41000-027</t>
  </si>
  <si>
    <t>48150-027</t>
  </si>
  <si>
    <t>TOTAL PERSONAL CARE</t>
  </si>
  <si>
    <t>NURSE PRACTITIONER</t>
  </si>
  <si>
    <t>HOME &amp; COMMUNITY BASE SVCS</t>
  </si>
  <si>
    <t>OTHER INCOME</t>
  </si>
  <si>
    <t>49310-040</t>
  </si>
  <si>
    <t>DIVIDEND INCENTIVE</t>
  </si>
  <si>
    <t>49450-040</t>
  </si>
  <si>
    <t>MISCELLANEOUS OPERATING INCOME</t>
  </si>
  <si>
    <t>49500-040</t>
  </si>
  <si>
    <t>PROCESSING FEES</t>
  </si>
  <si>
    <t>49800-040</t>
  </si>
  <si>
    <t>VENDING MACHINE REVENUE</t>
  </si>
  <si>
    <t>TOTAL OTHER</t>
  </si>
  <si>
    <t>TOTAL NET REVENUE</t>
  </si>
  <si>
    <t>OPERATING EXPENSES</t>
  </si>
  <si>
    <t>PAYROLL TAXES</t>
  </si>
  <si>
    <t>TOTAL HCBS</t>
  </si>
  <si>
    <t>PROVIDER SERVICES EXPENSE</t>
  </si>
  <si>
    <t>FURNITURE EXPENSE</t>
  </si>
  <si>
    <t>NURSING ADMINISTRATION</t>
  </si>
  <si>
    <t>50100-042</t>
  </si>
  <si>
    <t>SALARIES-ADON</t>
  </si>
  <si>
    <t>50400-042</t>
  </si>
  <si>
    <t>SALARIES-DON</t>
  </si>
  <si>
    <t>50600-042</t>
  </si>
  <si>
    <t>SALARIES-MDS COORDINATOR</t>
  </si>
  <si>
    <t>50800-042</t>
  </si>
  <si>
    <t>SALARIES-REGIONAL ADMINISTRATO</t>
  </si>
  <si>
    <t>50900-042</t>
  </si>
  <si>
    <t>SALARIES-SECRETARY</t>
  </si>
  <si>
    <t>50950-042</t>
  </si>
  <si>
    <t>SALARIES-STAFF</t>
  </si>
  <si>
    <t>51050-042</t>
  </si>
  <si>
    <t>UNIT COORDINATOR</t>
  </si>
  <si>
    <t>51200-042</t>
  </si>
  <si>
    <t>STAFF DEVELOPMENT COORDINATOR</t>
  </si>
  <si>
    <t>51750-042</t>
  </si>
  <si>
    <t>SALARIES-BONUS</t>
  </si>
  <si>
    <t>ORIENTATION</t>
  </si>
  <si>
    <t>51840-042</t>
  </si>
  <si>
    <t>OVERTIME</t>
  </si>
  <si>
    <t>51850-042</t>
  </si>
  <si>
    <t>VACATION/SICK/HOLIDAY</t>
  </si>
  <si>
    <t>51900-042</t>
  </si>
  <si>
    <t>51950-042</t>
  </si>
  <si>
    <t>CONTRACT SERVICES</t>
  </si>
  <si>
    <t>52050-042</t>
  </si>
  <si>
    <t>NOTES &amp; FORMS</t>
  </si>
  <si>
    <t>52900-042</t>
  </si>
  <si>
    <t>MEDICAL DIRECTOR FEES</t>
  </si>
  <si>
    <t>53050-042</t>
  </si>
  <si>
    <t>CONSULTANT</t>
  </si>
  <si>
    <t>53100-042</t>
  </si>
  <si>
    <t>CNA TRAINING</t>
  </si>
  <si>
    <t>53150-042</t>
  </si>
  <si>
    <t>TRAINING/SEMINARS/CONFERENCES</t>
  </si>
  <si>
    <t>55000-042</t>
  </si>
  <si>
    <t>MINOR EQUIPMENT</t>
  </si>
  <si>
    <t>55050-042</t>
  </si>
  <si>
    <t>REPAIR &amp; MAINTAINANCE</t>
  </si>
  <si>
    <t>56000-042</t>
  </si>
  <si>
    <t>INSURANCE-HEALTH</t>
  </si>
  <si>
    <t>ADVERTISING</t>
  </si>
  <si>
    <t>MARKETING &amp; DEVELOPMENT EXPENSE</t>
  </si>
  <si>
    <t>60150-042</t>
  </si>
  <si>
    <t>EMPLOYEE ACTIVITIES/PERSONAL EXP</t>
  </si>
  <si>
    <t>60450-042</t>
  </si>
  <si>
    <t>TUITION REIMBURSEMENT</t>
  </si>
  <si>
    <t>POSTAGE</t>
  </si>
  <si>
    <t>61250-042</t>
  </si>
  <si>
    <t>TRAVEL</t>
  </si>
  <si>
    <t>ALCOHOL - NON-ALLOWABLE</t>
  </si>
  <si>
    <t>61400-042</t>
  </si>
  <si>
    <t>ENTERTAINMENT &amp; MEALS</t>
  </si>
  <si>
    <t>61450-042</t>
  </si>
  <si>
    <t>MILEAGE REIMBURSEMENT</t>
  </si>
  <si>
    <t>61600-042</t>
  </si>
  <si>
    <t>AUTOMOBILE-FUEL &amp; REPAIRS</t>
  </si>
  <si>
    <t>61700-042</t>
  </si>
  <si>
    <t>FLOWERS &amp; GIFTS</t>
  </si>
  <si>
    <t>DUES/MEMBERSHIPS/SUBSCRIPTIONS</t>
  </si>
  <si>
    <t>61850-042</t>
  </si>
  <si>
    <t>FORMS &amp; OFFICE SUPPLIES</t>
  </si>
  <si>
    <t>TAXES &amp; LICENSES</t>
  </si>
  <si>
    <t>TOTAL NURSING ADMIN</t>
  </si>
  <si>
    <t>CLINICAL REIMBURSEMENT</t>
  </si>
  <si>
    <t>REGULATORY</t>
  </si>
  <si>
    <t>NURSING</t>
  </si>
  <si>
    <t>50150-044</t>
  </si>
  <si>
    <t>SALARIES-AIDES</t>
  </si>
  <si>
    <t>50550-044</t>
  </si>
  <si>
    <t>SALARIES-LPN</t>
  </si>
  <si>
    <t>50700-044</t>
  </si>
  <si>
    <t>SALARIES-MEDICATION AIDE</t>
  </si>
  <si>
    <t>50850-044</t>
  </si>
  <si>
    <t>SALARIES-RN</t>
  </si>
  <si>
    <t>50950-044</t>
  </si>
  <si>
    <t>51150-044</t>
  </si>
  <si>
    <t>RESTORATIVE COORDINATOR</t>
  </si>
  <si>
    <t>51250-044</t>
  </si>
  <si>
    <t>RESTORATIVE AIDE</t>
  </si>
  <si>
    <t>51300-044</t>
  </si>
  <si>
    <t>RESTORATIVE NURSE</t>
  </si>
  <si>
    <t>51350-044</t>
  </si>
  <si>
    <t>SALARIES-CNA</t>
  </si>
  <si>
    <t>51750-044</t>
  </si>
  <si>
    <t>51800-044</t>
  </si>
  <si>
    <t>51840-044</t>
  </si>
  <si>
    <t>51850-044</t>
  </si>
  <si>
    <t>51900-044</t>
  </si>
  <si>
    <t>51950-044</t>
  </si>
  <si>
    <t>52000-044</t>
  </si>
  <si>
    <t>UNIFORMS</t>
  </si>
  <si>
    <t>SUPPLIES</t>
  </si>
  <si>
    <t>53050-044</t>
  </si>
  <si>
    <t>53150-044</t>
  </si>
  <si>
    <t>55000-044</t>
  </si>
  <si>
    <t>55050-044</t>
  </si>
  <si>
    <t>SOFTWARE SUBSCRIPTIONS &amp; MAINT</t>
  </si>
  <si>
    <t>55100-044</t>
  </si>
  <si>
    <t>60150-044</t>
  </si>
  <si>
    <t>60450-044</t>
  </si>
  <si>
    <t>61800-044</t>
  </si>
  <si>
    <t>TOTAL NURSING</t>
  </si>
  <si>
    <t>TOTAL NURSING CARE</t>
  </si>
  <si>
    <t>CENTRAL SUPPLY</t>
  </si>
  <si>
    <t>50000-048</t>
  </si>
  <si>
    <t>SALARIES</t>
  </si>
  <si>
    <t>51750-048</t>
  </si>
  <si>
    <t>51840-048</t>
  </si>
  <si>
    <t>51850-048</t>
  </si>
  <si>
    <t>51900-048</t>
  </si>
  <si>
    <t>52200-048</t>
  </si>
  <si>
    <t>PRESCRIPTION DRUGS-MEDICARE</t>
  </si>
  <si>
    <t>52210-048</t>
  </si>
  <si>
    <t>RX DRUGS-PPD MEDICARE</t>
  </si>
  <si>
    <t>52220-048</t>
  </si>
  <si>
    <t>RX DRUGS-PPD MANAGED CARE</t>
  </si>
  <si>
    <t>52250-048</t>
  </si>
  <si>
    <t>52350-048</t>
  </si>
  <si>
    <t>FLOOR STOCK &amp; SUPPLIES</t>
  </si>
  <si>
    <t>52360-048</t>
  </si>
  <si>
    <t>Rx PART D</t>
  </si>
  <si>
    <t>52370-048</t>
  </si>
  <si>
    <t>OTC (OVER-THE-COUNTER) DRUGS</t>
  </si>
  <si>
    <t>52400-048</t>
  </si>
  <si>
    <t>52450-048</t>
  </si>
  <si>
    <t>ENTERAL SUPPLIES</t>
  </si>
  <si>
    <t>52500-048</t>
  </si>
  <si>
    <t>VA DRUGS &amp; SUPPLIES</t>
  </si>
  <si>
    <t>52550-048</t>
  </si>
  <si>
    <t>PRESCRIPTION DRUGS-OTHER</t>
  </si>
  <si>
    <t>52600-048</t>
  </si>
  <si>
    <t>52750-048</t>
  </si>
  <si>
    <t>SPECIALTY MATTRESS/BED RENTAL</t>
  </si>
  <si>
    <t>53050-048</t>
  </si>
  <si>
    <t>55000-048</t>
  </si>
  <si>
    <t>55050-048</t>
  </si>
  <si>
    <t>55100-048</t>
  </si>
  <si>
    <t>TOTAL CENTRAL SUPPLY</t>
  </si>
  <si>
    <t>AMBULATORY</t>
  </si>
  <si>
    <t>51950-050</t>
  </si>
  <si>
    <t>52650-050</t>
  </si>
  <si>
    <t>LAB FEES</t>
  </si>
  <si>
    <t>52700-050</t>
  </si>
  <si>
    <t>OXYGEN EXPENSE</t>
  </si>
  <si>
    <t>52710-050</t>
  </si>
  <si>
    <t>OXYGEN CONCENTRATORS</t>
  </si>
  <si>
    <t>52800-050</t>
  </si>
  <si>
    <t>52850-050</t>
  </si>
  <si>
    <t>52860-050</t>
  </si>
  <si>
    <t>OUTSIDE SERVICES NON-BILLABLE</t>
  </si>
  <si>
    <t>53050-050</t>
  </si>
  <si>
    <t>55000-050</t>
  </si>
  <si>
    <t>55050-050</t>
  </si>
  <si>
    <t>55100-050</t>
  </si>
  <si>
    <t>TOTAL AMBULATORY</t>
  </si>
  <si>
    <t>MEDICAL RECORDS</t>
  </si>
  <si>
    <t>50000-052</t>
  </si>
  <si>
    <t>51750-052</t>
  </si>
  <si>
    <t>51840-052</t>
  </si>
  <si>
    <t>51850-052</t>
  </si>
  <si>
    <t>51900-052</t>
  </si>
  <si>
    <t>52100-052</t>
  </si>
  <si>
    <t>TOTAL MEDICAL RECORDS</t>
  </si>
  <si>
    <t>DIETARY</t>
  </si>
  <si>
    <t>50350-054</t>
  </si>
  <si>
    <t>SALARIES-DIRECTOR</t>
  </si>
  <si>
    <t>50950-054</t>
  </si>
  <si>
    <t>51750-054</t>
  </si>
  <si>
    <t>51840-054</t>
  </si>
  <si>
    <t>51850-054</t>
  </si>
  <si>
    <t>51900-054</t>
  </si>
  <si>
    <t>51950-054</t>
  </si>
  <si>
    <t>52100-054</t>
  </si>
  <si>
    <t>52150-054</t>
  </si>
  <si>
    <t>ECOLAB SUPPLIES</t>
  </si>
  <si>
    <t>53050-054</t>
  </si>
  <si>
    <t>53150-054</t>
  </si>
  <si>
    <t>53200-054</t>
  </si>
  <si>
    <t>RAW FOOD</t>
  </si>
  <si>
    <t>53250-054</t>
  </si>
  <si>
    <t>SUPPLEMENTAL FEEDING</t>
  </si>
  <si>
    <t>55000-054</t>
  </si>
  <si>
    <t>55050-054</t>
  </si>
  <si>
    <t>55070-054</t>
  </si>
  <si>
    <t>55100-054</t>
  </si>
  <si>
    <t>60150-054</t>
  </si>
  <si>
    <t>61400-054</t>
  </si>
  <si>
    <t>61450-054</t>
  </si>
  <si>
    <t>61800-054</t>
  </si>
  <si>
    <t>61850-054</t>
  </si>
  <si>
    <t>62000-054</t>
  </si>
  <si>
    <t>TOTAL DIETARY</t>
  </si>
  <si>
    <t>51950-056</t>
  </si>
  <si>
    <t>52100-056</t>
  </si>
  <si>
    <t>53350-056</t>
  </si>
  <si>
    <t>LINEN &amp; BEDDING</t>
  </si>
  <si>
    <t>55000-056</t>
  </si>
  <si>
    <t>55100-056</t>
  </si>
  <si>
    <t>TOTAL LAUNDRY</t>
  </si>
  <si>
    <t>HOUSEKEEPING</t>
  </si>
  <si>
    <t>51950-058</t>
  </si>
  <si>
    <t>52100-058</t>
  </si>
  <si>
    <t>55000-058</t>
  </si>
  <si>
    <t>TOTAL HOUSEKEEPING</t>
  </si>
  <si>
    <t>PLANT OPERATIONS</t>
  </si>
  <si>
    <t>50350-060</t>
  </si>
  <si>
    <t>50950-060</t>
  </si>
  <si>
    <t>51750-060</t>
  </si>
  <si>
    <t>51840-060</t>
  </si>
  <si>
    <t>51850-060</t>
  </si>
  <si>
    <t>51900-060</t>
  </si>
  <si>
    <t>51950-060</t>
  </si>
  <si>
    <t>52100-060</t>
  </si>
  <si>
    <t>55000-060</t>
  </si>
  <si>
    <t>55050-060</t>
  </si>
  <si>
    <t>55070-060</t>
  </si>
  <si>
    <t>SOFTWARE SUBSCRIPTION &amp; MAINT</t>
  </si>
  <si>
    <t>55100-060</t>
  </si>
  <si>
    <t>REPAIRS &amp; MAINTENANCE</t>
  </si>
  <si>
    <t>55150-060</t>
  </si>
  <si>
    <t>PEST CONTROL</t>
  </si>
  <si>
    <t>55200-060</t>
  </si>
  <si>
    <t>SECURITY</t>
  </si>
  <si>
    <t>55350-060</t>
  </si>
  <si>
    <t>UTILITIES-ELECTRIC</t>
  </si>
  <si>
    <t>55400-060</t>
  </si>
  <si>
    <t>UTILITIES-GAS</t>
  </si>
  <si>
    <t>55450-060</t>
  </si>
  <si>
    <t>UTILITIES-WATER</t>
  </si>
  <si>
    <t>55500-060</t>
  </si>
  <si>
    <t>WASTE DISPOSAL</t>
  </si>
  <si>
    <t>55550-060</t>
  </si>
  <si>
    <t>GROUNDS MAINTENANCE</t>
  </si>
  <si>
    <t>55680-060</t>
  </si>
  <si>
    <t>OTHER LANDLORD EXPENSES</t>
  </si>
  <si>
    <t>61250-060</t>
  </si>
  <si>
    <t>61400-060</t>
  </si>
  <si>
    <t>61450-060</t>
  </si>
  <si>
    <t>61600-060</t>
  </si>
  <si>
    <t>61800-060</t>
  </si>
  <si>
    <t>61850-060</t>
  </si>
  <si>
    <t>62150-060</t>
  </si>
  <si>
    <t>RENTAL EXP / PROP EXP</t>
  </si>
  <si>
    <t>TOTAL PLANT OPERATIONS</t>
  </si>
  <si>
    <t>ACTIVITIES</t>
  </si>
  <si>
    <t>50350-064</t>
  </si>
  <si>
    <t>50950-064</t>
  </si>
  <si>
    <t>51750-064</t>
  </si>
  <si>
    <t>51840-064</t>
  </si>
  <si>
    <t>51850-064</t>
  </si>
  <si>
    <t>51900-064</t>
  </si>
  <si>
    <t>51950-064</t>
  </si>
  <si>
    <t>52050-064</t>
  </si>
  <si>
    <t>52100-064</t>
  </si>
  <si>
    <t>53150-064</t>
  </si>
  <si>
    <t>55000-064</t>
  </si>
  <si>
    <t>55050-064</t>
  </si>
  <si>
    <t>60150-064</t>
  </si>
  <si>
    <t>60155-064</t>
  </si>
  <si>
    <t>RESIDENT ACTIVITIES</t>
  </si>
  <si>
    <t>61250-064</t>
  </si>
  <si>
    <t>61260-064</t>
  </si>
  <si>
    <t>61400-064</t>
  </si>
  <si>
    <t>61450-064</t>
  </si>
  <si>
    <t>61600-064</t>
  </si>
  <si>
    <t>61800-064</t>
  </si>
  <si>
    <t>TOTAL ACTIVITIES</t>
  </si>
  <si>
    <t>SOCIAL SERVICES</t>
  </si>
  <si>
    <t>50350-066</t>
  </si>
  <si>
    <t>50950-066</t>
  </si>
  <si>
    <t>51750-066</t>
  </si>
  <si>
    <t>51840-066</t>
  </si>
  <si>
    <t>51850-066</t>
  </si>
  <si>
    <t>51900-066</t>
  </si>
  <si>
    <t>52050-066</t>
  </si>
  <si>
    <t>52100-066</t>
  </si>
  <si>
    <t>TOTAL SOCIAL SERVICES</t>
  </si>
  <si>
    <t>50450-068</t>
  </si>
  <si>
    <t>SALARIES-LICENSED</t>
  </si>
  <si>
    <t>50500-068</t>
  </si>
  <si>
    <t>SALARIES-LICENSED ASSISTANT</t>
  </si>
  <si>
    <t>51850-068</t>
  </si>
  <si>
    <t>51938-068</t>
  </si>
  <si>
    <t>SHC THERAPY EXP COMMERCIAL INS</t>
  </si>
  <si>
    <t>51939-068</t>
  </si>
  <si>
    <t>SHC THERAPY EXP MGD MCR B</t>
  </si>
  <si>
    <t>51940-068</t>
  </si>
  <si>
    <t>SHC THERAPY EXP MED A</t>
  </si>
  <si>
    <t>51941-068</t>
  </si>
  <si>
    <t>SHC THERAPY EXP MED B</t>
  </si>
  <si>
    <t>51942-068</t>
  </si>
  <si>
    <t>SHC THERAPY EXP MGD MCR LEVELS</t>
  </si>
  <si>
    <t>51943-068</t>
  </si>
  <si>
    <t>SHC THERAPY EXP PRIVATE</t>
  </si>
  <si>
    <t>51944-068</t>
  </si>
  <si>
    <t>SHC THERAPY EXP MGD MCR RUGS</t>
  </si>
  <si>
    <t>51947-068</t>
  </si>
  <si>
    <t>SHC THERAPY EXP MEDICAID</t>
  </si>
  <si>
    <t>51949-068</t>
  </si>
  <si>
    <t>SHC THERAPY EXP CAP B</t>
  </si>
  <si>
    <t>52000-068</t>
  </si>
  <si>
    <t>52100-068</t>
  </si>
  <si>
    <t>55000-068</t>
  </si>
  <si>
    <t>55050-068</t>
  </si>
  <si>
    <t>55100-068</t>
  </si>
  <si>
    <t>DATA PROCESSING</t>
  </si>
  <si>
    <t>61800-068</t>
  </si>
  <si>
    <t>TOTAL PHYSICAL THERAPY</t>
  </si>
  <si>
    <t>50450-070</t>
  </si>
  <si>
    <t>50500-070</t>
  </si>
  <si>
    <t>51900-070</t>
  </si>
  <si>
    <t>52100-070</t>
  </si>
  <si>
    <t>55000-070</t>
  </si>
  <si>
    <t>TOTAL OCCUPATIONAL THERAPY</t>
  </si>
  <si>
    <t>50450-072</t>
  </si>
  <si>
    <t>52100-072</t>
  </si>
  <si>
    <t>55000-072</t>
  </si>
  <si>
    <t>TOTAL SPEECH THERAPY</t>
  </si>
  <si>
    <t>RESPIRATORY THERAPY</t>
  </si>
  <si>
    <t>50450-074</t>
  </si>
  <si>
    <t>51750-074</t>
  </si>
  <si>
    <t>51840-074</t>
  </si>
  <si>
    <t>51850-074</t>
  </si>
  <si>
    <t>51900-074</t>
  </si>
  <si>
    <t>51950-074</t>
  </si>
  <si>
    <t>TOTAL RESPIRATORY THERAPY</t>
  </si>
  <si>
    <t>BEAUTY &amp; BARBER</t>
  </si>
  <si>
    <t>51950-076</t>
  </si>
  <si>
    <t>52100-076</t>
  </si>
  <si>
    <t>61800-076</t>
  </si>
  <si>
    <t>TOTAL BARBER &amp; BEAUTY</t>
  </si>
  <si>
    <t xml:space="preserve">PERS </t>
  </si>
  <si>
    <t>HOME DELIVERED MEALS</t>
  </si>
  <si>
    <t>IN HOME SERVICES</t>
  </si>
  <si>
    <t>THERAPY MANAGEMENT</t>
  </si>
  <si>
    <t>GENERAL &amp; ADMINISTRATIVE</t>
  </si>
  <si>
    <t>50050-098</t>
  </si>
  <si>
    <t>SALARIES-ADMINISTRATOR</t>
  </si>
  <si>
    <t>50250-098</t>
  </si>
  <si>
    <t>SALARIESASST ADMINISTRATOR</t>
  </si>
  <si>
    <t>50950-098</t>
  </si>
  <si>
    <t>51400-098</t>
  </si>
  <si>
    <t>SALARIES-ADMISSIONS</t>
  </si>
  <si>
    <t>51750-098</t>
  </si>
  <si>
    <t>51840-098</t>
  </si>
  <si>
    <t>51850-098</t>
  </si>
  <si>
    <t>51900-098</t>
  </si>
  <si>
    <t>51950-098</t>
  </si>
  <si>
    <t>52100-098</t>
  </si>
  <si>
    <t>53050-098</t>
  </si>
  <si>
    <t>53150-098</t>
  </si>
  <si>
    <t>53200-098</t>
  </si>
  <si>
    <t>55000-098</t>
  </si>
  <si>
    <t>55050-098</t>
  </si>
  <si>
    <t>55070-098</t>
  </si>
  <si>
    <t>55100-098</t>
  </si>
  <si>
    <t>55250-098</t>
  </si>
  <si>
    <t>TELEPHONE</t>
  </si>
  <si>
    <t>55300-098</t>
  </si>
  <si>
    <t>CABLE TELEVISION</t>
  </si>
  <si>
    <t>56000-098</t>
  </si>
  <si>
    <t>56050-098</t>
  </si>
  <si>
    <t>INSURANCE-WORKERS COMPENSATION</t>
  </si>
  <si>
    <t>56100-098</t>
  </si>
  <si>
    <t>INSURANCE-GENERAL</t>
  </si>
  <si>
    <t>56150-098</t>
  </si>
  <si>
    <t>INSURANCE-PROPERTY</t>
  </si>
  <si>
    <t>56170-098</t>
  </si>
  <si>
    <t>INSURANCE-MALPRACTICE</t>
  </si>
  <si>
    <t>60050-098</t>
  </si>
  <si>
    <t>60100-098</t>
  </si>
  <si>
    <t>ADVERTISING-HELP WANTED</t>
  </si>
  <si>
    <t>60110-098</t>
  </si>
  <si>
    <t>60120-098</t>
  </si>
  <si>
    <t>HALL OF FAME EXPENSES</t>
  </si>
  <si>
    <t>60150-098</t>
  </si>
  <si>
    <t>60155-098</t>
  </si>
  <si>
    <t>60400-098</t>
  </si>
  <si>
    <t>RELOCATION EXPENSE</t>
  </si>
  <si>
    <t>60450-098</t>
  </si>
  <si>
    <t>60500-098</t>
  </si>
  <si>
    <t>PHYSICALS &amp; CRIMINAL CHECK</t>
  </si>
  <si>
    <t>60750-098</t>
  </si>
  <si>
    <t>LEGAL FEES</t>
  </si>
  <si>
    <t>60850-098</t>
  </si>
  <si>
    <t>61010-098</t>
  </si>
  <si>
    <t>RESIDENT GRIEVANCES</t>
  </si>
  <si>
    <t>61050-098</t>
  </si>
  <si>
    <t>61100-098</t>
  </si>
  <si>
    <t>OVERNIGHT SHIPPING</t>
  </si>
  <si>
    <t>61150-098</t>
  </si>
  <si>
    <t>BANK CHARGES</t>
  </si>
  <si>
    <t>61200-098</t>
  </si>
  <si>
    <t>FINANCE CHARGES/PENALTIES</t>
  </si>
  <si>
    <t>61250-098</t>
  </si>
  <si>
    <t>61260-098</t>
  </si>
  <si>
    <t>61400-098</t>
  </si>
  <si>
    <t>61450-098</t>
  </si>
  <si>
    <t>61550-098</t>
  </si>
  <si>
    <t>AUTOMOBILE-LEASE EXPENSE</t>
  </si>
  <si>
    <t>61600-098</t>
  </si>
  <si>
    <t>61650-098</t>
  </si>
  <si>
    <t>CONTRIBUTIONS</t>
  </si>
  <si>
    <t>61700-098</t>
  </si>
  <si>
    <t>61800-098</t>
  </si>
  <si>
    <t>61850-098</t>
  </si>
  <si>
    <t>61950-098</t>
  </si>
  <si>
    <t>BED TAXES</t>
  </si>
  <si>
    <t>62000-098</t>
  </si>
  <si>
    <t>62050-098</t>
  </si>
  <si>
    <t>PROPERTY TAX</t>
  </si>
  <si>
    <t>62100-098</t>
  </si>
  <si>
    <t>62150-098</t>
  </si>
  <si>
    <t>62200-098</t>
  </si>
  <si>
    <t>MISCELLANEOUS EXPENSE</t>
  </si>
  <si>
    <t>60720-098</t>
  </si>
  <si>
    <t>REVENUE RESOURCE CENTER FEE</t>
  </si>
  <si>
    <t>60722-098</t>
  </si>
  <si>
    <t>HR ONBOARDING FEE</t>
  </si>
  <si>
    <t>60723-098</t>
  </si>
  <si>
    <t>FLEXPATH OVERHEAD</t>
  </si>
  <si>
    <t>TOTAL GENERAL &amp; ADMINISTRATIVE</t>
  </si>
  <si>
    <t>ACCOUNTS RECEIVABLE</t>
  </si>
  <si>
    <t>EXECUTIVE</t>
  </si>
  <si>
    <t>FINANCE</t>
  </si>
  <si>
    <t>HUMAN RESOURCES</t>
  </si>
  <si>
    <t>INFORMATION TECHNOLOGY</t>
  </si>
  <si>
    <t>EMPLOYEE BENEFITS</t>
  </si>
  <si>
    <t>LEGAL</t>
  </si>
  <si>
    <t>THE AGENCY</t>
  </si>
  <si>
    <t>OFFICE SERVICES</t>
  </si>
  <si>
    <t>AUDIT REIMBURSEMENT</t>
  </si>
  <si>
    <t>RISK MANAGEMENT</t>
  </si>
  <si>
    <t>REGIONAL OPERATIONS</t>
  </si>
  <si>
    <t>REGIONAL PLANT OPERATIONS</t>
  </si>
  <si>
    <t>SPECIAL PROJECTS OPERATIONS</t>
  </si>
  <si>
    <t>OTHER G &amp; A (INSURANCE, ETC.)</t>
  </si>
  <si>
    <t>QUALITY OF LIFE</t>
  </si>
  <si>
    <t>PROCESS IMPROVEMENT</t>
  </si>
  <si>
    <t>SPIRITUALITY</t>
  </si>
  <si>
    <t>LEARNING</t>
  </si>
  <si>
    <t>TALENT MANAGEMENT</t>
  </si>
  <si>
    <t>BUSINESS DEVELOPMENT</t>
  </si>
  <si>
    <t>PURCHASING</t>
  </si>
  <si>
    <t>CORPORATE ACCOUNTING</t>
  </si>
  <si>
    <t>ACCOUNTS PAYABLE</t>
  </si>
  <si>
    <t>DIETARY SERVICES</t>
  </si>
  <si>
    <t>STRATEGIC DEVELOPMENT</t>
  </si>
  <si>
    <t>REGIONAL TRAINING</t>
  </si>
  <si>
    <t>CORPORATE COMPLIANCE</t>
  </si>
  <si>
    <t>REGIONAL BUSINESS SERVICES</t>
  </si>
  <si>
    <t>CASE MANAGEMENT</t>
  </si>
  <si>
    <t>MARKETING</t>
  </si>
  <si>
    <t>LITIGATION</t>
  </si>
  <si>
    <t>POLITICAL/LEGAL AFFAIRS</t>
  </si>
  <si>
    <t>ADMISSIONS</t>
  </si>
  <si>
    <t>INTERNAL AUDIT</t>
  </si>
  <si>
    <t>TOTAL OPERATING EXPENSES</t>
  </si>
  <si>
    <t>EBITDARM %</t>
  </si>
  <si>
    <t>ADMINISTRATIVE EXPENSES</t>
  </si>
  <si>
    <t>60700-098</t>
  </si>
  <si>
    <t>MANAGEMENT FEE</t>
  </si>
  <si>
    <t>TOTAL ADMINISTRATIVE EXPENSES</t>
  </si>
  <si>
    <t>EBITDAR %</t>
  </si>
  <si>
    <t>55600</t>
  </si>
  <si>
    <t>FACILITY LEASE</t>
  </si>
  <si>
    <t>EBITDA %</t>
  </si>
  <si>
    <t>OTHER PROPERTY RELATED EXPENSES</t>
  </si>
  <si>
    <t>55650-060</t>
  </si>
  <si>
    <t>STRAIGHT LINE LEASE EXPENSE</t>
  </si>
  <si>
    <t>55660-060</t>
  </si>
  <si>
    <t>RENT EXPENSE - DEFERRED</t>
  </si>
  <si>
    <t>68150-???</t>
  </si>
  <si>
    <t>INTEREST-NOTES PAYABLE</t>
  </si>
  <si>
    <t>68170-098</t>
  </si>
  <si>
    <t>INTEREST-NOTES PAYABLE TERM</t>
  </si>
  <si>
    <t>49300-040</t>
  </si>
  <si>
    <t>INTEREST INCOME</t>
  </si>
  <si>
    <t>69000-??? + 49250-040</t>
  </si>
  <si>
    <t>DEPRECIATION EXPENSE</t>
  </si>
  <si>
    <t>TOTAL OTHER PROPERTY RELATED EXPENSES</t>
  </si>
  <si>
    <t>62020</t>
  </si>
  <si>
    <t>INCOME BASED TAX</t>
  </si>
  <si>
    <t>NET INCOME (LOSS)</t>
  </si>
  <si>
    <t>NET INCOME (LOSS) W/ TAX CR ADJ</t>
  </si>
  <si>
    <t>NET INCOME MARGIN (LOSS)</t>
  </si>
  <si>
    <t>Salaries</t>
  </si>
  <si>
    <t>50000:51840 + 60200 + 51920 - 51750 - 51800 - 51840</t>
  </si>
  <si>
    <t>51750</t>
  </si>
  <si>
    <t>Bonus</t>
  </si>
  <si>
    <t>51800</t>
  </si>
  <si>
    <t>Orientation</t>
  </si>
  <si>
    <t>51840</t>
  </si>
  <si>
    <t>Overtime</t>
  </si>
  <si>
    <t>Total Salaries</t>
  </si>
  <si>
    <t>Benefits</t>
  </si>
  <si>
    <t>51850</t>
  </si>
  <si>
    <t>Vacation/Sick/Holiday</t>
  </si>
  <si>
    <t>Payroll Taxes</t>
  </si>
  <si>
    <t>Insurance - Health</t>
  </si>
  <si>
    <t>Insurance - Workers Comp</t>
  </si>
  <si>
    <t>60000 + 60010 + 60150:60350 + 60400:60600 - 60200 - 60500</t>
  </si>
  <si>
    <t>Benefits - Other</t>
  </si>
  <si>
    <t>Total Benefits</t>
  </si>
  <si>
    <t>Benefits % of Salaries</t>
  </si>
  <si>
    <t>Payroll Taxes % of Salaries</t>
  </si>
  <si>
    <t>PPD INFORMATION</t>
  </si>
  <si>
    <t>99010-000</t>
  </si>
  <si>
    <t>PRIVATE DAYS</t>
  </si>
  <si>
    <t>99160-000</t>
  </si>
  <si>
    <t>COMMERCIAL INSURANCE DAYS</t>
  </si>
  <si>
    <t>99030-000</t>
  </si>
  <si>
    <t>MANAGED MEDICARE LEVELS DAYS</t>
  </si>
  <si>
    <t>99050-000</t>
  </si>
  <si>
    <t>MEDICARE DAYS</t>
  </si>
  <si>
    <t>99080-000</t>
  </si>
  <si>
    <t>HOSPICE DAYS</t>
  </si>
  <si>
    <t>99090-000</t>
  </si>
  <si>
    <t>MEDICAID ICF DAYS</t>
  </si>
  <si>
    <t>99130-000</t>
  </si>
  <si>
    <t>MEDICAID PENDING DAYS</t>
  </si>
  <si>
    <t>99070-000</t>
  </si>
  <si>
    <t>MANAGED MEDICAID DAYS</t>
  </si>
  <si>
    <t>99110-000</t>
  </si>
  <si>
    <t>VA ICF DAYS</t>
  </si>
  <si>
    <t>99170-000</t>
  </si>
  <si>
    <t>PERSONAL CARE DAYS</t>
  </si>
  <si>
    <t>99060-000</t>
  </si>
  <si>
    <t>MANAGED MEDICARE RUGS DAYS</t>
  </si>
  <si>
    <t>TOTAL PATIENT DAYS</t>
  </si>
  <si>
    <t>99250-000</t>
  </si>
  <si>
    <t>BED DAYS AVAILABLE</t>
  </si>
  <si>
    <t>OCCUPANCY %</t>
  </si>
  <si>
    <t>99350-000</t>
  </si>
  <si>
    <t>TOTAL LICENSED BED DAYS</t>
  </si>
  <si>
    <t>44000-023</t>
  </si>
  <si>
    <t>53050-072</t>
  </si>
  <si>
    <t>68050-098</t>
  </si>
  <si>
    <t>INTEREST EXPENSE</t>
  </si>
  <si>
    <t>48100-001</t>
  </si>
  <si>
    <t>60480-098</t>
  </si>
  <si>
    <t>LOAN FORGIVENESS</t>
  </si>
  <si>
    <t>51100-042</t>
  </si>
  <si>
    <t>CLINICAL MANAGER</t>
  </si>
  <si>
    <t>51950-048</t>
  </si>
  <si>
    <t>53150-048</t>
  </si>
  <si>
    <t>OCCUPANCY % - LICENSED</t>
  </si>
  <si>
    <t>48000-027</t>
  </si>
  <si>
    <t>BAD DEBT NON-MEDICARE</t>
  </si>
  <si>
    <t>MANAGED CARE CONTRACTING</t>
  </si>
  <si>
    <t>61800-042</t>
  </si>
  <si>
    <t>60485-098</t>
  </si>
  <si>
    <t>REWARDS &amp; RECOGNITION</t>
  </si>
  <si>
    <t>61710-098</t>
  </si>
  <si>
    <t>PHYSICIAN GIFTS</t>
  </si>
  <si>
    <t>62400-098</t>
  </si>
  <si>
    <t>BED DEBT MEDICARE</t>
  </si>
  <si>
    <t>48145-003</t>
  </si>
  <si>
    <t>CONTRACTUAL ADJUST-VALUE BASED PRICING</t>
  </si>
  <si>
    <t>Consolidated Sabra Health Care REIT SNFs Only</t>
  </si>
  <si>
    <t>SABRA Skilled Nursing Facilities Only 12 Month Trend</t>
  </si>
  <si>
    <t>2020</t>
  </si>
  <si>
    <t>61850-064</t>
  </si>
  <si>
    <t>55325-098</t>
  </si>
  <si>
    <t>INTERNET</t>
  </si>
  <si>
    <t>60735-098</t>
  </si>
  <si>
    <t>MANAGED CARE FEE</t>
  </si>
  <si>
    <t>Beds Analysis</t>
  </si>
  <si>
    <t>Apr 2019</t>
  </si>
  <si>
    <t>May 2019</t>
  </si>
  <si>
    <t>Jun 2019</t>
  </si>
  <si>
    <t>Jul 2019</t>
  </si>
  <si>
    <t>Aug 2019</t>
  </si>
  <si>
    <t>Sep 2019</t>
  </si>
  <si>
    <t>Oct 2019</t>
  </si>
  <si>
    <t>Nov 2019</t>
  </si>
  <si>
    <t>Dec 2019</t>
  </si>
  <si>
    <t>Jan 2020</t>
  </si>
  <si>
    <t>Property</t>
  </si>
  <si>
    <t>Total Operating Beds Variance</t>
  </si>
  <si>
    <t>Difference</t>
  </si>
  <si>
    <t>48130-021</t>
  </si>
  <si>
    <t>61600-030</t>
  </si>
  <si>
    <t>AUTO FUEL/REPAIRS</t>
  </si>
  <si>
    <t>55710-042</t>
  </si>
  <si>
    <t>COVID-19 EXPENSE</t>
  </si>
  <si>
    <t>55710-054</t>
  </si>
  <si>
    <t>61700-064</t>
  </si>
  <si>
    <t>55251-098</t>
  </si>
  <si>
    <t>CELL PHONE</t>
  </si>
  <si>
    <t>55710-098</t>
  </si>
  <si>
    <t>56055-098</t>
  </si>
  <si>
    <t>INSURANCE-WORKERS COMPENSATION COVID-19</t>
  </si>
  <si>
    <t>49640-040</t>
  </si>
  <si>
    <t>HHS COVID19 GRANT REVENUE</t>
  </si>
  <si>
    <t>49641-040</t>
  </si>
  <si>
    <t>MEDICAID COVID19 REVENUE</t>
  </si>
  <si>
    <t>55710-044</t>
  </si>
  <si>
    <t>55710-048</t>
  </si>
  <si>
    <t>55710-050</t>
  </si>
  <si>
    <t>55710-052</t>
  </si>
  <si>
    <t>55710-060</t>
  </si>
  <si>
    <t>55710-064</t>
  </si>
  <si>
    <t>55710-066</t>
  </si>
  <si>
    <t>55710-068</t>
  </si>
  <si>
    <t>55710-070</t>
  </si>
  <si>
    <t>55710-072</t>
  </si>
  <si>
    <t>55710-074</t>
  </si>
  <si>
    <t>51930-098</t>
  </si>
  <si>
    <t>PAYROLL TAXES - COVID FICA</t>
  </si>
  <si>
    <t>51900 + 51930</t>
  </si>
  <si>
    <t>56050 + 56055</t>
  </si>
  <si>
    <t>49642-040</t>
  </si>
  <si>
    <t>MEDICARE SEQUEST COVID19 REV</t>
  </si>
  <si>
    <t>49643-040</t>
  </si>
  <si>
    <t>COVID19 IGT REVENUE</t>
  </si>
  <si>
    <t>61050-060</t>
  </si>
  <si>
    <t>49620-040</t>
  </si>
  <si>
    <t>SIG ADV INCENTIVE REVENUE</t>
  </si>
  <si>
    <t>60050-042</t>
  </si>
  <si>
    <t>55710-058</t>
  </si>
  <si>
    <t>52000-070</t>
  </si>
  <si>
    <t>52000-072</t>
  </si>
  <si>
    <t>Covid-19 Revenue</t>
  </si>
  <si>
    <t>Total Covid-19 Revenue</t>
  </si>
  <si>
    <t>Covid-19 Expense</t>
  </si>
  <si>
    <t>COVID-19 EXPENSE, NURSING ADMINISTRATION</t>
  </si>
  <si>
    <t>COVID-19 EXPENSE, NURSING</t>
  </si>
  <si>
    <t>COVID-19 EXPENSE, CENTRAL SUPPLY</t>
  </si>
  <si>
    <t>COVID-19 EXPENSE, AMBULATORY</t>
  </si>
  <si>
    <t>COVID-19 EXPENSE, MEDICAL RECORDS</t>
  </si>
  <si>
    <t>COVID-19 EXPENSE, DIETARY</t>
  </si>
  <si>
    <t>COVID-19 EXPENSE, HOUSEKEEPING</t>
  </si>
  <si>
    <t>COVID-19 EXPENSE, PLANT OPERATIONS</t>
  </si>
  <si>
    <t>COVID-19 EXPENSE, ACTIVITIES</t>
  </si>
  <si>
    <t>COVID-19 EXPENSE, SOCIAL SERVICES</t>
  </si>
  <si>
    <t>COVID-19 EXPENSE, PHYSICAL THERAPY</t>
  </si>
  <si>
    <t>COVID-19 EXPENSE, OCCUPATIONAL THERAPY</t>
  </si>
  <si>
    <t>COVID-19 EXPENSE, SPEECH THERAPY</t>
  </si>
  <si>
    <t>COVID-19 EXPENSE, RESPIRATORY THERAPY</t>
  </si>
  <si>
    <t>COVID-19 EXPENSE, GENERAL &amp; ADMINISTRATIVE</t>
  </si>
  <si>
    <t>51930</t>
  </si>
  <si>
    <t>56055</t>
  </si>
  <si>
    <t>INSURANCE - WRKRS COMP COVID19</t>
  </si>
  <si>
    <t>Total Covid-19 Expense</t>
  </si>
  <si>
    <t>55720-050</t>
  </si>
  <si>
    <t>COVID-19 TESTING</t>
  </si>
  <si>
    <t>50950-058</t>
  </si>
  <si>
    <t>51900-058</t>
  </si>
  <si>
    <t>55720-098</t>
  </si>
  <si>
    <t>56200-098</t>
  </si>
  <si>
    <t>INSURANCE LIFE</t>
  </si>
  <si>
    <t>COVID-19 TESTING, AMBULATORY</t>
  </si>
  <si>
    <t>COVID-19 TESTING, GENERAL &amp; ADMINISTRATIVE</t>
  </si>
  <si>
    <t>44650-003</t>
  </si>
  <si>
    <t>55250-060</t>
  </si>
  <si>
    <t>TELEPHONE PLANT OPERATIONS</t>
  </si>
  <si>
    <t>60450-064</t>
  </si>
  <si>
    <t>51800-098</t>
  </si>
  <si>
    <t>48145-021</t>
  </si>
  <si>
    <t>49644-040</t>
  </si>
  <si>
    <t>INFECTION CONTROL REVENUE</t>
  </si>
  <si>
    <t>61260-042</t>
  </si>
  <si>
    <t>60150-058</t>
  </si>
  <si>
    <t>53050-074</t>
  </si>
  <si>
    <t>52000-060</t>
  </si>
  <si>
    <t>61450-066</t>
  </si>
  <si>
    <t>55055-098</t>
  </si>
  <si>
    <t>INFECTION CONTROL</t>
  </si>
  <si>
    <t>56020-098</t>
  </si>
  <si>
    <t>INSURANCE-HEALTH COVID-19</t>
  </si>
  <si>
    <t>56175-098</t>
  </si>
  <si>
    <t>INSURANCE MALPRACTICE COVID19</t>
  </si>
  <si>
    <t>56000 + 56020</t>
  </si>
  <si>
    <t>INFECTION CONTROL, GENERAL &amp; ADMINISTRATIVE</t>
  </si>
  <si>
    <t>INSURANCE MALPRACTICE COVID19, GENERAL &amp; ADMINISTRATIVE</t>
  </si>
  <si>
    <t>48145-005</t>
  </si>
  <si>
    <t>CONTRACTUAL ADJUST-VALUE-BASED PRICING</t>
  </si>
  <si>
    <t>53050-062</t>
  </si>
  <si>
    <t>CONSULTANT PHARMACY</t>
  </si>
  <si>
    <t>55050-074</t>
  </si>
  <si>
    <t>62230-098</t>
  </si>
  <si>
    <t>COVID19 CONTRA EXPENSE</t>
  </si>
  <si>
    <t>60705-098</t>
  </si>
  <si>
    <t>COVID19 MANAGEMENT FEE, GENERAL &amp; ADMINISTRATIVE</t>
  </si>
  <si>
    <t>2021</t>
  </si>
  <si>
    <t>41000-009</t>
  </si>
  <si>
    <t>45400-028</t>
  </si>
  <si>
    <t>ENTERAL FEEDING</t>
  </si>
  <si>
    <t>45600-028</t>
  </si>
  <si>
    <t>48050-028</t>
  </si>
  <si>
    <t>51952-044</t>
  </si>
  <si>
    <t>CONTRACT SERVICES - STAFFING</t>
  </si>
  <si>
    <t>55000-052</t>
  </si>
  <si>
    <t>60450-052</t>
  </si>
  <si>
    <t>51953-056</t>
  </si>
  <si>
    <t>CONTRACT SRVS HSK/LNDRY</t>
  </si>
  <si>
    <t>51953-058</t>
  </si>
  <si>
    <t>60050-064</t>
  </si>
  <si>
    <t>55000-066</t>
  </si>
  <si>
    <t>51937-074</t>
  </si>
  <si>
    <t>SHC THERAPY EXP - OTHER</t>
  </si>
  <si>
    <t>51940-074</t>
  </si>
  <si>
    <t>SHC THERAPY EXP - MED A</t>
  </si>
  <si>
    <t>51947-074</t>
  </si>
  <si>
    <t>SHE THERAPY EXP - MEDICAID</t>
  </si>
  <si>
    <t>RESPIRATORY MANAGEMENT</t>
  </si>
  <si>
    <t>50350-098</t>
  </si>
  <si>
    <t>SALARIESDIRECTOR</t>
  </si>
  <si>
    <t>99100-000</t>
  </si>
  <si>
    <t>MEDICAID SKILLED DAYS</t>
  </si>
  <si>
    <t>ADC BY PAYOR</t>
  </si>
  <si>
    <t>99011</t>
  </si>
  <si>
    <t>99161</t>
  </si>
  <si>
    <t>99031</t>
  </si>
  <si>
    <t>99051</t>
  </si>
  <si>
    <t>MEDICARE</t>
  </si>
  <si>
    <t>99081</t>
  </si>
  <si>
    <t>99101</t>
  </si>
  <si>
    <t>99091</t>
  </si>
  <si>
    <t>99131</t>
  </si>
  <si>
    <t>99071</t>
  </si>
  <si>
    <t>99111</t>
  </si>
  <si>
    <t>99171</t>
  </si>
  <si>
    <t>99061</t>
  </si>
  <si>
    <t>BED HOLD</t>
  </si>
  <si>
    <t>TOTAL ADC</t>
  </si>
  <si>
    <t>**COVID-19 Revenue-Amounts represent various forms of Federal and State Stimulus recognized as an offset to COVID costs or Lost Revenue due to COVID.</t>
  </si>
  <si>
    <t>**COVID-19 Expense-Amounts represent cost that did not previously exist and can be specifically identified as additional costs due to COVID (Direct Costs). It does not include costs that previously existed but have increased due to COVID (Indirect Costs).</t>
  </si>
  <si>
    <t>44650-022</t>
  </si>
  <si>
    <t>51800-042</t>
  </si>
  <si>
    <t>50950-043</t>
  </si>
  <si>
    <t>51900-043</t>
  </si>
  <si>
    <t>TOTAL CLINICAL REIMBURSEMENT</t>
  </si>
  <si>
    <t>61250-044</t>
  </si>
  <si>
    <t>51800-048</t>
  </si>
  <si>
    <t>61800-052</t>
  </si>
  <si>
    <t>51800-054</t>
  </si>
  <si>
    <t>52150-056</t>
  </si>
  <si>
    <t>55100-058</t>
  </si>
  <si>
    <t>51800-064</t>
  </si>
  <si>
    <t>61450-072</t>
  </si>
  <si>
    <t>51944-074</t>
  </si>
  <si>
    <t>SHC THERAPY EXP - MGD MCR RUGS</t>
  </si>
  <si>
    <t>52000-074</t>
  </si>
  <si>
    <t>45260-022</t>
  </si>
  <si>
    <t>48050-022</t>
  </si>
  <si>
    <t>44050-009</t>
  </si>
  <si>
    <t>44200-009</t>
  </si>
  <si>
    <t>44300-009</t>
  </si>
  <si>
    <t>44400-009</t>
  </si>
  <si>
    <t>44500-009</t>
  </si>
  <si>
    <t>48050-009</t>
  </si>
  <si>
    <t>48100-009</t>
  </si>
  <si>
    <t>45260-011</t>
  </si>
  <si>
    <t>48150-017</t>
  </si>
  <si>
    <t>TOTAL VA SKILLED</t>
  </si>
  <si>
    <t>51952-042</t>
  </si>
  <si>
    <t>51800-052</t>
  </si>
  <si>
    <t>53150-060</t>
  </si>
  <si>
    <t>52100-062</t>
  </si>
  <si>
    <t>TOTAL PHARMACY</t>
  </si>
  <si>
    <t>53250-098</t>
  </si>
  <si>
    <t>45600-001</t>
  </si>
  <si>
    <t>45200-007</t>
  </si>
  <si>
    <t>48145-022</t>
  </si>
  <si>
    <t>CONTRACTUAL ADJUST - VALUE-BASED PURCHASING</t>
  </si>
  <si>
    <t>51250-074</t>
  </si>
  <si>
    <t>SALARIES - RESTORATIVE AIDE</t>
  </si>
  <si>
    <t>52100-074</t>
  </si>
  <si>
    <t>Immaterial Delta</t>
  </si>
  <si>
    <t>Signature HealthCARE of Bluffton</t>
  </si>
  <si>
    <t>Excluded 'Bluffton' financials</t>
  </si>
  <si>
    <t>P&amp;L</t>
  </si>
  <si>
    <t>Delta</t>
  </si>
  <si>
    <t>Bluffton property financials</t>
  </si>
  <si>
    <t>Consolidated Financials</t>
  </si>
  <si>
    <t>Cons SABRA SNFs Only</t>
  </si>
  <si>
    <t xml:space="preserve">Bluffton </t>
  </si>
  <si>
    <t>62000-042</t>
  </si>
  <si>
    <t>56000-043</t>
  </si>
  <si>
    <t>53150-050</t>
  </si>
  <si>
    <t>61250-054</t>
  </si>
  <si>
    <t>60150-060</t>
  </si>
  <si>
    <t>53051-098</t>
  </si>
  <si>
    <t>GIG CONSULTANT</t>
  </si>
  <si>
    <t>62300-098</t>
  </si>
  <si>
    <t>CONSULTING EXPENSES BILLED</t>
  </si>
  <si>
    <t>49625-040</t>
  </si>
  <si>
    <t>SIG ADV CAP B GAIN SHARE</t>
  </si>
  <si>
    <t>52100-042</t>
  </si>
  <si>
    <t>50800-043</t>
  </si>
  <si>
    <t>51951-054</t>
  </si>
  <si>
    <t>CONTRACT SERVICES - DIETARY</t>
  </si>
  <si>
    <t>53050-068</t>
  </si>
  <si>
    <t>60150-068</t>
  </si>
  <si>
    <t>61750-098</t>
  </si>
  <si>
    <t>VENDING PURCHASES</t>
  </si>
  <si>
    <t>As per Alex instructions given in the Apr'21 Delivery comments on 06/18/2021.
the consolidated financial tab includes Bluffton. Would you be able to subtract the figures from the 'Bluffton' tab in Signature's financials</t>
  </si>
  <si>
    <t>60110-054</t>
  </si>
  <si>
    <t>51900-068</t>
  </si>
  <si>
    <t>50850-098</t>
  </si>
  <si>
    <t>For the Twelve Months Ending Tuesday, August 31, 2021</t>
  </si>
  <si>
    <t>44650-001</t>
  </si>
  <si>
    <t>51800-066</t>
  </si>
  <si>
    <t>61500-098</t>
  </si>
  <si>
    <t>AUTOMOBILE-ALLOWANCE</t>
  </si>
  <si>
    <t>TTM ending 8/31/2021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</si>
</sst>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quot;$&quot;* #,##0.00_);_(&quot;$&quot;* \(#,##0.00\);_(&quot;$&quot;* &quot;-&quot;??_);_(@_)"/>
    <numFmt numFmtId="43" formatCode="_(* #,##0.00_);_(* \(#,##0.00\);_(* &quot;-&quot;??_);_(@_)"/>
    <numFmt numFmtId="164" formatCode="_(* #,##0_);_(* \(#,##0\);_(* &quot;-&quot;??_);_(@_)"/>
    <numFmt numFmtId="165" formatCode="#,###,##0;\(#,###,##0\)"/>
    <numFmt numFmtId="166" formatCode="#,##0.00;\(#,##0.00\)"/>
    <numFmt numFmtId="167" formatCode="#,###,##0.00;\(#,###,##0.00\)"/>
    <numFmt numFmtId="168" formatCode="#,##0;\(#,##0\)"/>
    <numFmt numFmtId="169" formatCode="&quot;$&quot;#,##0.00;\(&quot;$&quot;#,##0.00\)"/>
    <numFmt numFmtId="170" formatCode="###0.0%;\(###0.0%\)"/>
    <numFmt numFmtId="171" formatCode="###0.00%;\(###0.00%\)"/>
    <numFmt numFmtId="172" formatCode="#,##0.0;\(#,##0.0\)"/>
    <numFmt numFmtId="173" formatCode="###0.00;\(###0.00\)"/>
    <numFmt numFmtId="174" formatCode="mmmm\ yyyy\ &quot;TTM&quot;"/>
    <numFmt numFmtId="175" formatCode="_(* #,##0_);_(* \(\ #,##0\ \);_(* &quot;-&quot;??_);_(\ @_ \)"/>
    <numFmt numFmtId="176" formatCode="###0.;\(###0.\)"/>
    <numFmt numFmtId="177" formatCode="###,##0;\(###,##0\)"/>
    <numFmt numFmtId="178" formatCode="###,##0.0;\(###,##0.0\)"/>
  </numFmts>
  <fonts count="4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theme="1"/>
      <name val="Arial"/>
      <family val="2"/>
    </font>
    <font>
      <b/>
      <sz val="11"/>
      <color theme="3"/>
      <name val="Calibri"/>
      <family val="2"/>
      <scheme val="minor"/>
    </font>
    <font>
      <sz val="10"/>
      <color indexed="0"/>
      <name val="Arial"/>
      <family val="2"/>
    </font>
    <font>
      <sz val="10"/>
      <color indexed="8"/>
      <name val="Arial"/>
      <family val="2"/>
    </font>
    <font>
      <b/>
      <sz val="12"/>
      <color indexed="0"/>
      <name val="Microsoft Sans Serif"/>
      <family val="2"/>
    </font>
    <font>
      <sz val="10"/>
      <color indexed="0"/>
      <name val="Microsoft Sans Serif"/>
      <family val="2"/>
    </font>
    <font>
      <b/>
      <u/>
      <sz val="12"/>
      <color indexed="0"/>
      <name val="Microsoft Sans Serif"/>
      <family val="2"/>
    </font>
    <font>
      <b/>
      <sz val="10"/>
      <color indexed="0"/>
      <name val="Microsoft Sans Serif"/>
      <family val="2"/>
    </font>
    <font>
      <b/>
      <i/>
      <sz val="10"/>
      <color indexed="0"/>
      <name val="MS Reference Sans Serif"/>
      <family val="2"/>
    </font>
    <font>
      <b/>
      <sz val="10"/>
      <name val="Arial"/>
      <family val="2"/>
    </font>
    <font>
      <sz val="11"/>
      <name val="Calibri"/>
      <family val="2"/>
      <scheme val="minor"/>
    </font>
    <font>
      <sz val="8.25"/>
      <color rgb="FF000000"/>
      <name val="Microsoft Sans Serif"/>
      <family val="2"/>
    </font>
    <font>
      <b/>
      <sz val="10"/>
      <color theme="3" tint="0.39997558519241921"/>
      <name val="Arial"/>
      <family val="2"/>
    </font>
    <font>
      <b/>
      <sz val="10"/>
      <color theme="3" tint="-0.249977111117893"/>
      <name val="Arial"/>
      <family val="2"/>
    </font>
    <font>
      <b/>
      <sz val="10"/>
      <color theme="0"/>
      <name val="Arial"/>
      <family val="2"/>
    </font>
    <font>
      <b/>
      <sz val="10"/>
      <color indexed="9"/>
      <name val="Arial"/>
      <family val="2"/>
    </font>
    <font>
      <sz val="10"/>
      <color indexed="17"/>
      <name val="Arial"/>
      <family val="2"/>
    </font>
    <font>
      <u val="singleAccounting"/>
      <sz val="10"/>
      <color indexed="17"/>
      <name val="Arial"/>
      <family val="2"/>
    </font>
    <font>
      <sz val="8"/>
      <color rgb="FF000000"/>
      <name val="Microsoft Sans Serif"/>
      <family val="2"/>
    </font>
    <font>
      <b/>
      <sz val="7.95"/>
      <color rgb="FF000000"/>
      <name val="Arial"/>
      <family val="2"/>
    </font>
    <font>
      <sz val="8.5"/>
      <color rgb="FF000000"/>
      <name val="Arial"/>
      <family val="2"/>
    </font>
    <font>
      <b/>
      <sz val="8.5"/>
      <color rgb="FF000000"/>
      <name val="Arial"/>
      <family val="2"/>
    </font>
    <font>
      <b/>
      <sz val="7"/>
      <color rgb="FF000000"/>
      <name val="Arial"/>
      <family val="2"/>
    </font>
    <font>
      <b/>
      <sz val="8.5"/>
      <color rgb="FFFF0000"/>
      <name val="Arial"/>
      <family val="2"/>
    </font>
    <font>
      <sz val="8.25"/>
      <color rgb="FF000000"/>
      <name val="Microsoft Sans Serif"/>
      <family val="2"/>
    </font>
    <font>
      <b/>
      <sz val="10"/>
      <color indexed="8"/>
      <name val="Arial"/>
      <family val="2"/>
    </font>
    <font>
      <i/>
      <sz val="10"/>
      <color rgb="FF0000FF"/>
      <name val="Arial"/>
      <family val="2"/>
    </font>
    <font>
      <i/>
      <sz val="10"/>
      <color indexed="8"/>
      <name val="Arial"/>
      <family val="2"/>
    </font>
    <font>
      <sz val="11"/>
      <color indexed="8"/>
      <name val="Calibri"/>
      <family val="2"/>
    </font>
    <font>
      <sz val="8.85"/>
      <color rgb="FF000000"/>
      <name val="Arial"/>
      <family val="2"/>
    </font>
    <font>
      <sz val="8.85"/>
      <color rgb="FF000000"/>
      <name val="Arial"/>
      <family val="2"/>
    </font>
    <font>
      <sz val="10"/>
      <color theme="1"/>
      <name val="Calibri"/>
      <family val="2"/>
      <scheme val="minor"/>
    </font>
    <font>
      <sz val="8.85"/>
      <color rgb="FF000000"/>
      <name val="Arial"/>
      <family val="2"/>
    </font>
    <font>
      <sz val="8.85"/>
      <color rgb="FF000000"/>
      <name val="Arial"/>
    </font>
    <font>
      <b/>
      <sz val="11"/>
      <color rgb="FFFF0000"/>
      <name val="Calibri"/>
      <family val="2"/>
      <scheme val="minor"/>
    </font>
    <font>
      <b/>
      <i/>
      <sz val="11"/>
      <color theme="1"/>
      <name val="Calibri"/>
      <family val="2"/>
      <scheme val="minor"/>
    </font>
    <font>
      <b/>
      <sz val="12"/>
      <color rgb="FF000000"/>
      <name val="Times New Roman"/>
    </font>
    <font>
      <sz val="10"/>
      <color rgb="FF000000"/>
      <name val="Times New Roman"/>
    </font>
    <font>
      <sz val="8.85"/>
      <color rgb="FF000000"/>
      <name val="Times New Roman"/>
    </font>
    <font>
      <b/>
      <i/>
      <sz val="10"/>
      <color rgb="FF000000"/>
      <name val="Times New Roman"/>
    </font>
    <font>
      <b/>
      <sz val="10"/>
      <color rgb="FF000000"/>
      <name val="Times New Roman"/>
    </font>
    <font>
      <b/>
      <sz val="8.85"/>
      <color rgb="FF000000"/>
      <name val="Times New Roman"/>
    </font>
    <font>
      <i/>
      <sz val="8.85"/>
      <color rgb="FF000000"/>
      <name val="Arial"/>
    </font>
  </fonts>
  <fills count="19">
    <fill>
      <patternFill patternType="none"/>
    </fill>
    <fill>
      <patternFill patternType="gray125"/>
    </fill>
    <fill>
      <patternFill patternType="solid">
        <fgColor theme="1"/>
        <bgColor indexed="64"/>
      </patternFill>
    </fill>
    <fill>
      <patternFill patternType="solid">
        <fgColor theme="6" tint="0.39997558519241921"/>
        <bgColor indexed="64"/>
      </patternFill>
    </fill>
    <fill>
      <patternFill patternType="solid">
        <fgColor indexed="8"/>
      </patternFill>
    </fill>
    <fill>
      <patternFill patternType="solid">
        <fgColor theme="0"/>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92D050"/>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2" tint="-0.249977111117893"/>
        <bgColor indexed="64"/>
      </patternFill>
    </fill>
    <fill>
      <patternFill patternType="solid">
        <fgColor theme="8" tint="0.59999389629810485"/>
        <bgColor indexed="64"/>
      </patternFill>
    </fill>
  </fills>
  <borders count="49">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double">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rgb="FFABABAB"/>
      </left>
      <right style="thin">
        <color rgb="FFABABAB"/>
      </right>
      <top style="thin">
        <color rgb="FFABABAB"/>
      </top>
      <bottom style="thin">
        <color rgb="FFABABAB"/>
      </bottom>
      <diagonal/>
    </border>
    <border>
      <left style="thin">
        <color rgb="FFABABAB"/>
      </left>
      <right/>
      <top style="thin">
        <color rgb="FFABABAB"/>
      </top>
      <bottom/>
      <diagonal/>
    </border>
    <border>
      <left style="thin">
        <color indexed="65"/>
      </left>
      <right/>
      <top style="thin">
        <color rgb="FFABABAB"/>
      </top>
      <bottom/>
      <diagonal/>
    </border>
    <border>
      <left style="thin">
        <color rgb="FFABABAB"/>
      </left>
      <right style="thin">
        <color rgb="FFABABAB"/>
      </right>
      <top style="thin">
        <color rgb="FFABABAB"/>
      </top>
      <bottom/>
      <diagonal/>
    </border>
    <border>
      <left style="thin">
        <color rgb="FFABABAB"/>
      </left>
      <right/>
      <top/>
      <bottom/>
      <diagonal/>
    </border>
    <border>
      <left/>
      <right/>
      <top style="thin">
        <color rgb="FFABABAB"/>
      </top>
      <bottom/>
      <diagonal/>
    </border>
    <border>
      <left style="thin">
        <color rgb="FFABABAB"/>
      </left>
      <right/>
      <top style="thin">
        <color rgb="FFABABAB"/>
      </top>
      <bottom style="thin">
        <color rgb="FFABABAB"/>
      </bottom>
      <diagonal/>
    </border>
    <border>
      <left style="thin">
        <color indexed="9"/>
      </left>
      <right/>
      <top style="thin">
        <color rgb="FFABABAB"/>
      </top>
      <bottom style="thin">
        <color rgb="FFABABAB"/>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indexed="64"/>
      </right>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s>
  <cellStyleXfs count="100">
    <xf numFmtId="0" fontId="0" fillId="0" borderId="0"/>
    <xf numFmtId="43" fontId="1" fillId="0" borderId="0" applyFont="0" applyFill="0" applyBorder="0" applyAlignment="0" applyProtection="0"/>
    <xf numFmtId="0" fontId="3"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6" fillId="0" borderId="0"/>
    <xf numFmtId="166" fontId="6" fillId="0" borderId="0"/>
    <xf numFmtId="43" fontId="6" fillId="0" borderId="0" applyFont="0" applyFill="0" applyBorder="0" applyAlignment="0" applyProtection="0"/>
    <xf numFmtId="166" fontId="6" fillId="0" borderId="0"/>
    <xf numFmtId="44" fontId="3" fillId="0" borderId="0" applyFont="0" applyFill="0" applyBorder="0" applyAlignment="0" applyProtection="0"/>
    <xf numFmtId="44" fontId="3" fillId="0" borderId="0" applyFont="0" applyFill="0" applyBorder="0" applyAlignment="0" applyProtection="0"/>
    <xf numFmtId="167" fontId="6" fillId="0" borderId="0"/>
    <xf numFmtId="165" fontId="6" fillId="0" borderId="0"/>
    <xf numFmtId="165" fontId="6" fillId="0" borderId="0"/>
    <xf numFmtId="167" fontId="6" fillId="0" borderId="0"/>
    <xf numFmtId="165" fontId="6" fillId="0" borderId="0"/>
    <xf numFmtId="167" fontId="6" fillId="0" borderId="0"/>
    <xf numFmtId="167" fontId="6" fillId="0" borderId="0"/>
    <xf numFmtId="165" fontId="6" fillId="0" borderId="0"/>
    <xf numFmtId="165" fontId="6" fillId="0" borderId="0"/>
    <xf numFmtId="167" fontId="6" fillId="0" borderId="0"/>
    <xf numFmtId="168" fontId="6" fillId="0" borderId="0"/>
    <xf numFmtId="165" fontId="6" fillId="0" borderId="0"/>
    <xf numFmtId="167" fontId="6" fillId="0" borderId="0"/>
    <xf numFmtId="165" fontId="6" fillId="0" borderId="0"/>
    <xf numFmtId="167" fontId="6" fillId="0" borderId="0"/>
    <xf numFmtId="165" fontId="6" fillId="0" borderId="0"/>
    <xf numFmtId="167" fontId="6" fillId="0" borderId="0"/>
    <xf numFmtId="165" fontId="6" fillId="0" borderId="0"/>
    <xf numFmtId="167" fontId="6" fillId="0" borderId="0"/>
    <xf numFmtId="166" fontId="6" fillId="0" borderId="0"/>
    <xf numFmtId="168" fontId="6" fillId="0" borderId="0"/>
    <xf numFmtId="166" fontId="6" fillId="0" borderId="0"/>
    <xf numFmtId="166" fontId="6" fillId="0" borderId="0"/>
    <xf numFmtId="168" fontId="6" fillId="0" borderId="0"/>
    <xf numFmtId="166" fontId="6" fillId="0" borderId="0"/>
    <xf numFmtId="168" fontId="6" fillId="0" borderId="0"/>
    <xf numFmtId="166" fontId="6" fillId="0" borderId="0"/>
    <xf numFmtId="168" fontId="6" fillId="0" borderId="0"/>
    <xf numFmtId="165" fontId="6" fillId="0" borderId="0"/>
    <xf numFmtId="167" fontId="6" fillId="0" borderId="0"/>
    <xf numFmtId="167" fontId="6" fillId="0" borderId="0"/>
    <xf numFmtId="165" fontId="6" fillId="0" borderId="0"/>
    <xf numFmtId="165" fontId="6" fillId="0" borderId="0"/>
    <xf numFmtId="167" fontId="6" fillId="0" borderId="0"/>
    <xf numFmtId="169" fontId="6" fillId="0" borderId="0"/>
    <xf numFmtId="170" fontId="6" fillId="0" borderId="0"/>
    <xf numFmtId="0" fontId="5" fillId="0" borderId="0" applyNumberFormat="0" applyFill="0" applyBorder="0" applyAlignment="0" applyProtection="0"/>
    <xf numFmtId="0" fontId="6" fillId="0" borderId="0"/>
    <xf numFmtId="0" fontId="6" fillId="0" borderId="0"/>
    <xf numFmtId="0" fontId="7" fillId="0" borderId="0">
      <alignment vertical="top"/>
    </xf>
    <xf numFmtId="0" fontId="6" fillId="0" borderId="0"/>
    <xf numFmtId="0" fontId="7" fillId="0" borderId="0">
      <alignment vertical="top"/>
    </xf>
    <xf numFmtId="0" fontId="3" fillId="0" borderId="0"/>
    <xf numFmtId="0" fontId="6" fillId="0" borderId="0"/>
    <xf numFmtId="0" fontId="6" fillId="0" borderId="0"/>
    <xf numFmtId="0" fontId="6" fillId="0" borderId="0"/>
    <xf numFmtId="0" fontId="7" fillId="0" borderId="0">
      <alignment vertical="top"/>
    </xf>
    <xf numFmtId="0" fontId="6" fillId="0" borderId="0"/>
    <xf numFmtId="0" fontId="6" fillId="0" borderId="0"/>
    <xf numFmtId="0" fontId="6" fillId="0" borderId="0"/>
    <xf numFmtId="0" fontId="6" fillId="0" borderId="0"/>
    <xf numFmtId="0" fontId="7" fillId="0" borderId="0">
      <alignment vertical="top"/>
    </xf>
    <xf numFmtId="0" fontId="6" fillId="0" borderId="0"/>
    <xf numFmtId="0" fontId="7" fillId="0" borderId="0">
      <alignment vertical="top"/>
    </xf>
    <xf numFmtId="0" fontId="3" fillId="0" borderId="0"/>
    <xf numFmtId="0" fontId="6" fillId="0" borderId="0"/>
    <xf numFmtId="0" fontId="3" fillId="0" borderId="0"/>
    <xf numFmtId="0" fontId="6" fillId="0" borderId="0"/>
    <xf numFmtId="0" fontId="3" fillId="0" borderId="0"/>
    <xf numFmtId="0" fontId="7" fillId="0" borderId="0">
      <alignment vertical="top"/>
    </xf>
    <xf numFmtId="0" fontId="6" fillId="0" borderId="0"/>
    <xf numFmtId="0" fontId="6" fillId="0" borderId="0"/>
    <xf numFmtId="0" fontId="7" fillId="0" borderId="0">
      <alignment vertical="top"/>
    </xf>
    <xf numFmtId="0" fontId="6" fillId="0" borderId="0"/>
    <xf numFmtId="0" fontId="6" fillId="0" borderId="0"/>
    <xf numFmtId="0" fontId="7" fillId="0" borderId="0">
      <alignment vertical="top"/>
    </xf>
    <xf numFmtId="0" fontId="6" fillId="0" borderId="0"/>
    <xf numFmtId="0" fontId="8" fillId="0" borderId="0"/>
    <xf numFmtId="0" fontId="9" fillId="0" borderId="0"/>
    <xf numFmtId="0" fontId="10" fillId="0" borderId="0"/>
    <xf numFmtId="0" fontId="11" fillId="0" borderId="0"/>
    <xf numFmtId="0" fontId="8" fillId="4" borderId="0"/>
    <xf numFmtId="0" fontId="12" fillId="0" borderId="0"/>
    <xf numFmtId="43" fontId="3" fillId="0" borderId="0" applyFont="0" applyFill="0" applyBorder="0" applyAlignment="0" applyProtection="0"/>
    <xf numFmtId="0" fontId="15" fillId="0" borderId="0" applyAlignment="0"/>
    <xf numFmtId="0" fontId="3" fillId="0" borderId="0"/>
    <xf numFmtId="0" fontId="28" fillId="0" borderId="0" applyAlignment="0"/>
    <xf numFmtId="43" fontId="32" fillId="0" borderId="0" applyFont="0" applyFill="0" applyBorder="0" applyAlignment="0" applyProtection="0"/>
    <xf numFmtId="0" fontId="13" fillId="0" borderId="20">
      <alignment horizontal="left" wrapText="1"/>
    </xf>
    <xf numFmtId="43" fontId="3" fillId="0" borderId="0" applyFont="0" applyFill="0" applyBorder="0" applyAlignment="0" applyProtection="0"/>
    <xf numFmtId="0" fontId="3" fillId="0" borderId="0"/>
    <xf numFmtId="0" fontId="15" fillId="0" borderId="0" applyAlignment="0"/>
    <xf numFmtId="0" fontId="33" fillId="0" borderId="0" applyAlignment="0"/>
    <xf numFmtId="0" fontId="34" fillId="0" borderId="0" applyAlignment="0"/>
    <xf numFmtId="0" fontId="36" fillId="0" borderId="0" applyAlignment="0"/>
    <xf numFmtId="0" fontId="37" fillId="0" borderId="0" applyAlignment="0"/>
  </cellStyleXfs>
  <cellXfs count="271">
    <xf numFmtId="0" fontId="0" fillId="0" borderId="0" xfId="0"/>
    <xf numFmtId="0" fontId="0" fillId="0" borderId="0" xfId="0" applyNumberFormat="1"/>
    <xf numFmtId="0" fontId="0" fillId="0" borderId="0" xfId="0" applyNumberFormat="1" applyAlignment="1">
      <alignment horizontal="left" indent="1"/>
    </xf>
    <xf numFmtId="0" fontId="0" fillId="0" borderId="0" xfId="0" applyNumberFormat="1" applyAlignment="1">
      <alignment horizontal="left" indent="2"/>
    </xf>
    <xf numFmtId="43" fontId="0" fillId="0" borderId="0" xfId="1" applyFont="1"/>
    <xf numFmtId="0" fontId="2" fillId="0" borderId="1" xfId="0" applyFont="1" applyBorder="1"/>
    <xf numFmtId="14" fontId="0" fillId="0" borderId="0" xfId="0" applyNumberFormat="1"/>
    <xf numFmtId="0" fontId="2" fillId="0" borderId="0" xfId="0" applyFont="1"/>
    <xf numFmtId="0" fontId="0" fillId="2" borderId="0" xfId="0" applyFill="1"/>
    <xf numFmtId="0" fontId="0" fillId="2" borderId="4" xfId="0" applyFill="1" applyBorder="1"/>
    <xf numFmtId="0" fontId="2" fillId="3" borderId="2" xfId="0" applyFont="1" applyFill="1" applyBorder="1" applyAlignment="1">
      <alignment horizontal="center"/>
    </xf>
    <xf numFmtId="0" fontId="2" fillId="3" borderId="3" xfId="0" applyFont="1" applyFill="1" applyBorder="1"/>
    <xf numFmtId="43" fontId="0" fillId="3" borderId="4" xfId="1" applyFont="1" applyFill="1" applyBorder="1"/>
    <xf numFmtId="0" fontId="0" fillId="3" borderId="4" xfId="0" applyFill="1" applyBorder="1"/>
    <xf numFmtId="43" fontId="0" fillId="3" borderId="3" xfId="1" applyFont="1" applyFill="1" applyBorder="1"/>
    <xf numFmtId="0" fontId="0" fillId="0" borderId="0" xfId="0" applyNumberFormat="1" applyAlignment="1">
      <alignment horizontal="left" indent="3"/>
    </xf>
    <xf numFmtId="0" fontId="0" fillId="0" borderId="0" xfId="0" applyNumberFormat="1" applyAlignment="1">
      <alignment horizontal="left" indent="5"/>
    </xf>
    <xf numFmtId="0" fontId="2" fillId="0" borderId="0" xfId="0" applyFont="1" applyBorder="1"/>
    <xf numFmtId="0" fontId="2" fillId="2" borderId="3" xfId="0" applyFont="1" applyFill="1" applyBorder="1"/>
    <xf numFmtId="164" fontId="0" fillId="3" borderId="4" xfId="1" applyNumberFormat="1" applyFont="1" applyFill="1" applyBorder="1"/>
    <xf numFmtId="164" fontId="0" fillId="0" borderId="0" xfId="1" applyNumberFormat="1" applyFont="1"/>
    <xf numFmtId="43" fontId="0" fillId="3" borderId="4" xfId="1" applyFont="1" applyFill="1" applyBorder="1" applyAlignment="1">
      <alignment horizontal="right"/>
    </xf>
    <xf numFmtId="0" fontId="0" fillId="0" borderId="2" xfId="0" applyBorder="1"/>
    <xf numFmtId="0" fontId="2" fillId="0" borderId="3" xfId="0" applyFont="1" applyBorder="1"/>
    <xf numFmtId="0" fontId="0" fillId="0" borderId="4" xfId="0" applyBorder="1" applyAlignment="1">
      <alignment horizontal="left" indent="1"/>
    </xf>
    <xf numFmtId="0" fontId="0" fillId="0" borderId="3" xfId="0" applyBorder="1" applyAlignment="1">
      <alignment horizontal="left" indent="1"/>
    </xf>
    <xf numFmtId="1" fontId="0" fillId="0" borderId="0" xfId="0" applyNumberFormat="1"/>
    <xf numFmtId="0" fontId="0" fillId="0" borderId="0" xfId="0" applyAlignment="1">
      <alignment horizontal="right"/>
    </xf>
    <xf numFmtId="164" fontId="0" fillId="0" borderId="0" xfId="0" applyNumberFormat="1"/>
    <xf numFmtId="0" fontId="0" fillId="0" borderId="0" xfId="0" applyFill="1"/>
    <xf numFmtId="0" fontId="14" fillId="0" borderId="0" xfId="0" applyFont="1"/>
    <xf numFmtId="0" fontId="0" fillId="0" borderId="0" xfId="0" applyNumberFormat="1" applyAlignment="1"/>
    <xf numFmtId="1" fontId="0" fillId="0" borderId="0" xfId="0" applyNumberFormat="1" applyFill="1"/>
    <xf numFmtId="14" fontId="0" fillId="0" borderId="0" xfId="0" applyNumberFormat="1" applyFill="1"/>
    <xf numFmtId="0" fontId="2" fillId="0" borderId="2" xfId="0" applyFont="1" applyFill="1" applyBorder="1" applyAlignment="1">
      <alignment horizontal="center"/>
    </xf>
    <xf numFmtId="0" fontId="0" fillId="5" borderId="0" xfId="0" applyFill="1"/>
    <xf numFmtId="0" fontId="16" fillId="5" borderId="0" xfId="89" applyFont="1" applyFill="1" applyAlignment="1"/>
    <xf numFmtId="0" fontId="3" fillId="5" borderId="0" xfId="89" applyFont="1" applyFill="1" applyAlignment="1">
      <alignment wrapText="1"/>
    </xf>
    <xf numFmtId="0" fontId="6" fillId="5" borderId="0" xfId="0" applyFont="1" applyFill="1"/>
    <xf numFmtId="0" fontId="17" fillId="5" borderId="0" xfId="89" applyFont="1" applyFill="1"/>
    <xf numFmtId="0" fontId="18" fillId="6" borderId="11" xfId="89" applyFont="1" applyFill="1" applyBorder="1" applyAlignment="1">
      <alignment horizontal="centerContinuous" vertical="justify"/>
    </xf>
    <xf numFmtId="0" fontId="18" fillId="6" borderId="12" xfId="89" applyFont="1" applyFill="1" applyBorder="1" applyAlignment="1">
      <alignment horizontal="centerContinuous" vertical="justify"/>
    </xf>
    <xf numFmtId="174" fontId="13" fillId="5" borderId="13" xfId="89" applyNumberFormat="1" applyFont="1" applyFill="1" applyBorder="1" applyAlignment="1">
      <alignment horizontal="center" wrapText="1"/>
    </xf>
    <xf numFmtId="0" fontId="19" fillId="5" borderId="14" xfId="89" applyFont="1" applyFill="1" applyBorder="1" applyAlignment="1">
      <alignment horizontal="center" wrapText="1"/>
    </xf>
    <xf numFmtId="0" fontId="3" fillId="5" borderId="13" xfId="89" applyFont="1" applyFill="1" applyBorder="1" applyAlignment="1">
      <alignment wrapText="1"/>
    </xf>
    <xf numFmtId="0" fontId="0" fillId="5" borderId="0" xfId="0" applyFill="1" applyBorder="1"/>
    <xf numFmtId="175" fontId="20" fillId="5" borderId="14" xfId="1" applyNumberFormat="1" applyFont="1" applyFill="1" applyBorder="1"/>
    <xf numFmtId="0" fontId="0" fillId="5" borderId="13" xfId="0" applyFill="1" applyBorder="1"/>
    <xf numFmtId="0" fontId="0" fillId="5" borderId="14" xfId="0" applyFill="1" applyBorder="1"/>
    <xf numFmtId="0" fontId="0" fillId="5" borderId="16" xfId="0" applyFill="1" applyBorder="1"/>
    <xf numFmtId="0" fontId="18" fillId="6" borderId="11" xfId="89" applyFont="1" applyFill="1" applyBorder="1"/>
    <xf numFmtId="0" fontId="18" fillId="6" borderId="18" xfId="89" applyFont="1" applyFill="1" applyBorder="1"/>
    <xf numFmtId="0" fontId="18" fillId="6" borderId="12" xfId="89" applyFont="1" applyFill="1" applyBorder="1"/>
    <xf numFmtId="43" fontId="0" fillId="5" borderId="13" xfId="1" applyFont="1" applyFill="1" applyBorder="1"/>
    <xf numFmtId="0" fontId="0" fillId="5" borderId="17" xfId="0" applyFill="1" applyBorder="1"/>
    <xf numFmtId="43" fontId="0" fillId="5" borderId="16" xfId="1" applyFont="1" applyFill="1" applyBorder="1"/>
    <xf numFmtId="175" fontId="3" fillId="7" borderId="14" xfId="1" applyNumberFormat="1" applyFont="1" applyFill="1" applyBorder="1"/>
    <xf numFmtId="43" fontId="0" fillId="9" borderId="14" xfId="1" applyFont="1" applyFill="1" applyBorder="1"/>
    <xf numFmtId="43" fontId="0" fillId="9" borderId="17" xfId="1" applyFont="1" applyFill="1" applyBorder="1"/>
    <xf numFmtId="164" fontId="19" fillId="10" borderId="15" xfId="1" applyNumberFormat="1" applyFont="1" applyFill="1" applyBorder="1" applyAlignment="1">
      <alignment horizontal="center" wrapText="1"/>
    </xf>
    <xf numFmtId="43" fontId="0" fillId="5" borderId="0" xfId="1" applyFont="1" applyFill="1" applyBorder="1"/>
    <xf numFmtId="43" fontId="0" fillId="5" borderId="19" xfId="1" applyFont="1" applyFill="1" applyBorder="1"/>
    <xf numFmtId="43" fontId="0" fillId="0" borderId="0" xfId="0" applyNumberFormat="1"/>
    <xf numFmtId="0" fontId="0" fillId="0" borderId="20" xfId="0" applyBorder="1"/>
    <xf numFmtId="43" fontId="0" fillId="0" borderId="20" xfId="1" applyFont="1" applyBorder="1"/>
    <xf numFmtId="0" fontId="2" fillId="11" borderId="2" xfId="0" applyFont="1" applyFill="1" applyBorder="1"/>
    <xf numFmtId="0" fontId="0" fillId="0" borderId="3" xfId="0" applyBorder="1"/>
    <xf numFmtId="43" fontId="0" fillId="0" borderId="3" xfId="1" applyFont="1" applyBorder="1"/>
    <xf numFmtId="0" fontId="0" fillId="0" borderId="21" xfId="0" applyBorder="1"/>
    <xf numFmtId="43" fontId="0" fillId="0" borderId="22" xfId="1" applyFont="1" applyBorder="1"/>
    <xf numFmtId="43" fontId="0" fillId="0" borderId="23" xfId="1" applyFont="1" applyBorder="1"/>
    <xf numFmtId="0" fontId="0" fillId="0" borderId="24" xfId="0" applyBorder="1"/>
    <xf numFmtId="43" fontId="0" fillId="0" borderId="15" xfId="1" applyFont="1" applyBorder="1"/>
    <xf numFmtId="0" fontId="0" fillId="0" borderId="25" xfId="0" applyBorder="1"/>
    <xf numFmtId="43" fontId="0" fillId="0" borderId="2" xfId="1" applyFont="1" applyBorder="1"/>
    <xf numFmtId="43" fontId="0" fillId="0" borderId="26" xfId="1" applyFont="1" applyBorder="1"/>
    <xf numFmtId="0" fontId="2" fillId="7" borderId="27" xfId="0" applyFont="1" applyFill="1" applyBorder="1"/>
    <xf numFmtId="43" fontId="2" fillId="7" borderId="28" xfId="1" applyFont="1" applyFill="1" applyBorder="1"/>
    <xf numFmtId="43" fontId="2" fillId="7" borderId="29" xfId="1" applyFont="1" applyFill="1" applyBorder="1"/>
    <xf numFmtId="0" fontId="0" fillId="0" borderId="4" xfId="0" applyBorder="1"/>
    <xf numFmtId="43" fontId="0" fillId="0" borderId="4" xfId="1" applyFont="1" applyBorder="1"/>
    <xf numFmtId="0" fontId="2" fillId="12" borderId="27" xfId="0" applyFont="1" applyFill="1" applyBorder="1"/>
    <xf numFmtId="43" fontId="2" fillId="12" borderId="28" xfId="1" applyFont="1" applyFill="1" applyBorder="1"/>
    <xf numFmtId="43" fontId="2" fillId="12" borderId="29" xfId="1" applyFont="1" applyFill="1" applyBorder="1"/>
    <xf numFmtId="0" fontId="0" fillId="0" borderId="0" xfId="0" applyFill="1" applyAlignment="1">
      <alignment horizontal="left" wrapText="1"/>
    </xf>
    <xf numFmtId="0" fontId="22" fillId="0" borderId="0" xfId="0" applyFont="1" applyFill="1" applyAlignment="1">
      <alignment horizontal="left" wrapText="1"/>
    </xf>
    <xf numFmtId="0" fontId="23" fillId="0" borderId="6" xfId="0" applyFont="1" applyFill="1" applyBorder="1" applyAlignment="1">
      <alignment horizontal="center"/>
    </xf>
    <xf numFmtId="0" fontId="24" fillId="0" borderId="0" xfId="0" applyFont="1" applyFill="1" applyAlignment="1">
      <alignment horizontal="left" wrapText="1"/>
    </xf>
    <xf numFmtId="0" fontId="24" fillId="0" borderId="0" xfId="0" applyFont="1" applyFill="1" applyAlignment="1">
      <alignment horizontal="right" wrapText="1"/>
    </xf>
    <xf numFmtId="171" fontId="24" fillId="0" borderId="0" xfId="0" applyNumberFormat="1" applyFont="1" applyFill="1" applyAlignment="1">
      <alignment horizontal="right" wrapText="1"/>
    </xf>
    <xf numFmtId="168" fontId="24" fillId="0" borderId="0" xfId="0" applyNumberFormat="1" applyFont="1" applyFill="1" applyAlignment="1">
      <alignment horizontal="right" wrapText="1"/>
    </xf>
    <xf numFmtId="0" fontId="24" fillId="0" borderId="0" xfId="0" applyFont="1" applyFill="1" applyAlignment="1">
      <alignment horizontal="left" wrapText="1" indent="1"/>
    </xf>
    <xf numFmtId="172" fontId="24" fillId="0" borderId="0" xfId="0" applyNumberFormat="1" applyFont="1" applyFill="1" applyAlignment="1">
      <alignment horizontal="right" wrapText="1"/>
    </xf>
    <xf numFmtId="172" fontId="24" fillId="0" borderId="6" xfId="0" applyNumberFormat="1" applyFont="1" applyFill="1" applyBorder="1" applyAlignment="1">
      <alignment horizontal="right" wrapText="1"/>
    </xf>
    <xf numFmtId="0" fontId="25" fillId="0" borderId="0" xfId="0" applyFont="1" applyFill="1" applyAlignment="1">
      <alignment horizontal="left" wrapText="1"/>
    </xf>
    <xf numFmtId="172" fontId="25" fillId="0" borderId="0" xfId="0" applyNumberFormat="1" applyFont="1" applyFill="1" applyAlignment="1">
      <alignment horizontal="right" wrapText="1"/>
    </xf>
    <xf numFmtId="168" fontId="24" fillId="0" borderId="6" xfId="0" applyNumberFormat="1" applyFont="1" applyFill="1" applyBorder="1" applyAlignment="1">
      <alignment horizontal="right" wrapText="1"/>
    </xf>
    <xf numFmtId="168" fontId="25" fillId="0" borderId="7" xfId="0" applyNumberFormat="1" applyFont="1" applyFill="1" applyBorder="1" applyAlignment="1">
      <alignment horizontal="right" wrapText="1"/>
    </xf>
    <xf numFmtId="0" fontId="24" fillId="0" borderId="8" xfId="0" applyFont="1" applyFill="1" applyBorder="1" applyAlignment="1">
      <alignment horizontal="left" wrapText="1"/>
    </xf>
    <xf numFmtId="171" fontId="24" fillId="0" borderId="9" xfId="0" applyNumberFormat="1" applyFont="1" applyFill="1" applyBorder="1" applyAlignment="1">
      <alignment horizontal="right" wrapText="1"/>
    </xf>
    <xf numFmtId="171" fontId="24" fillId="0" borderId="10" xfId="0" applyNumberFormat="1" applyFont="1" applyFill="1" applyBorder="1" applyAlignment="1">
      <alignment horizontal="right" wrapText="1"/>
    </xf>
    <xf numFmtId="0" fontId="25" fillId="0" borderId="0" xfId="0" applyFont="1" applyFill="1" applyAlignment="1">
      <alignment horizontal="right" wrapText="1"/>
    </xf>
    <xf numFmtId="168" fontId="25" fillId="0" borderId="0" xfId="0" applyNumberFormat="1" applyFont="1" applyFill="1" applyAlignment="1">
      <alignment horizontal="right" wrapText="1"/>
    </xf>
    <xf numFmtId="0" fontId="24" fillId="0" borderId="6" xfId="0" applyFont="1" applyFill="1" applyBorder="1" applyAlignment="1">
      <alignment horizontal="right" wrapText="1"/>
    </xf>
    <xf numFmtId="168" fontId="25" fillId="0" borderId="6" xfId="0" applyNumberFormat="1" applyFont="1" applyFill="1" applyBorder="1" applyAlignment="1">
      <alignment horizontal="right" wrapText="1"/>
    </xf>
    <xf numFmtId="0" fontId="26" fillId="0" borderId="0" xfId="0" applyFont="1" applyFill="1" applyAlignment="1">
      <alignment horizontal="left" wrapText="1"/>
    </xf>
    <xf numFmtId="170" fontId="26" fillId="0" borderId="0" xfId="0" applyNumberFormat="1" applyFont="1" applyFill="1" applyAlignment="1">
      <alignment horizontal="right" wrapText="1"/>
    </xf>
    <xf numFmtId="0" fontId="25" fillId="0" borderId="6" xfId="0" applyFont="1" applyFill="1" applyBorder="1" applyAlignment="1">
      <alignment horizontal="right" wrapText="1"/>
    </xf>
    <xf numFmtId="171" fontId="25" fillId="0" borderId="0" xfId="0" applyNumberFormat="1" applyFont="1" applyFill="1" applyAlignment="1">
      <alignment horizontal="right" wrapText="1"/>
    </xf>
    <xf numFmtId="173" fontId="26" fillId="0" borderId="0" xfId="0" applyNumberFormat="1" applyFont="1" applyFill="1" applyAlignment="1">
      <alignment horizontal="right" wrapText="1"/>
    </xf>
    <xf numFmtId="0" fontId="27" fillId="0" borderId="0" xfId="0" applyFont="1" applyFill="1" applyAlignment="1">
      <alignment horizontal="left" wrapText="1"/>
    </xf>
    <xf numFmtId="0" fontId="27" fillId="0" borderId="0" xfId="0" applyFont="1" applyFill="1" applyAlignment="1">
      <alignment horizontal="right" wrapText="1"/>
    </xf>
    <xf numFmtId="0" fontId="0" fillId="0" borderId="0" xfId="0" applyFill="1" applyAlignment="1">
      <alignment horizontal="right"/>
    </xf>
    <xf numFmtId="0" fontId="22" fillId="0" borderId="0" xfId="0" applyFont="1" applyFill="1" applyAlignment="1">
      <alignment horizontal="right"/>
    </xf>
    <xf numFmtId="0" fontId="0" fillId="0" borderId="30" xfId="0" applyFill="1" applyBorder="1"/>
    <xf numFmtId="0" fontId="0" fillId="0" borderId="31" xfId="0" applyBorder="1" applyAlignment="1">
      <alignment vertical="top"/>
    </xf>
    <xf numFmtId="0" fontId="0" fillId="0" borderId="0" xfId="0" applyAlignment="1">
      <alignment vertical="top"/>
    </xf>
    <xf numFmtId="0" fontId="0" fillId="2" borderId="0" xfId="0" applyFill="1" applyAlignment="1">
      <alignment vertical="top"/>
    </xf>
    <xf numFmtId="0" fontId="7" fillId="0" borderId="0" xfId="0" applyFont="1" applyAlignment="1">
      <alignment horizontal="center" vertical="top"/>
    </xf>
    <xf numFmtId="0" fontId="29" fillId="0" borderId="0" xfId="0" applyFont="1" applyAlignment="1">
      <alignment vertical="top"/>
    </xf>
    <xf numFmtId="0" fontId="29" fillId="0" borderId="0" xfId="0" applyFont="1" applyAlignment="1">
      <alignment horizontal="center" vertical="top" wrapText="1"/>
    </xf>
    <xf numFmtId="0" fontId="30" fillId="0" borderId="0" xfId="0" applyFont="1" applyAlignment="1">
      <alignment horizontal="right" vertical="top"/>
    </xf>
    <xf numFmtId="0" fontId="30" fillId="0" borderId="0" xfId="0" applyFont="1" applyAlignment="1">
      <alignment horizontal="center" vertical="top"/>
    </xf>
    <xf numFmtId="0" fontId="30" fillId="2" borderId="0" xfId="0" applyFont="1" applyFill="1" applyAlignment="1">
      <alignment horizontal="center" vertical="top"/>
    </xf>
    <xf numFmtId="0" fontId="0" fillId="13" borderId="0" xfId="0" applyFill="1" applyAlignment="1">
      <alignment vertical="top"/>
    </xf>
    <xf numFmtId="0" fontId="31" fillId="13" borderId="0" xfId="0" applyFont="1" applyFill="1" applyAlignment="1">
      <alignment horizontal="center" vertical="top"/>
    </xf>
    <xf numFmtId="0" fontId="0" fillId="0" borderId="32" xfId="0" applyBorder="1" applyAlignment="1">
      <alignment vertical="top"/>
    </xf>
    <xf numFmtId="0" fontId="0" fillId="0" borderId="33" xfId="0" applyBorder="1" applyAlignment="1">
      <alignment vertical="top"/>
    </xf>
    <xf numFmtId="0" fontId="0" fillId="0" borderId="34" xfId="0" applyBorder="1" applyAlignment="1">
      <alignment vertical="top"/>
    </xf>
    <xf numFmtId="0" fontId="29" fillId="0" borderId="0" xfId="0" applyFont="1" applyBorder="1" applyAlignment="1">
      <alignment horizontal="center" vertical="top" wrapText="1"/>
    </xf>
    <xf numFmtId="0" fontId="29" fillId="2" borderId="0" xfId="0" applyFont="1" applyFill="1" applyBorder="1" applyAlignment="1">
      <alignment horizontal="center" vertical="top" wrapText="1"/>
    </xf>
    <xf numFmtId="0" fontId="29" fillId="0" borderId="0" xfId="0" applyFont="1" applyAlignment="1">
      <alignment horizontal="center" vertical="top"/>
    </xf>
    <xf numFmtId="0" fontId="7" fillId="13" borderId="0" xfId="0" applyFont="1" applyFill="1" applyAlignment="1">
      <alignment horizontal="center" vertical="top"/>
    </xf>
    <xf numFmtId="0" fontId="29" fillId="14" borderId="0" xfId="0" applyFont="1" applyFill="1" applyAlignment="1">
      <alignment horizontal="center" vertical="top"/>
    </xf>
    <xf numFmtId="0" fontId="29" fillId="0" borderId="32" xfId="0" applyFont="1" applyBorder="1" applyAlignment="1">
      <alignment vertical="top"/>
    </xf>
    <xf numFmtId="0" fontId="29" fillId="0" borderId="32" xfId="0" applyFont="1" applyBorder="1" applyAlignment="1">
      <alignment horizontal="center" vertical="top" wrapText="1"/>
    </xf>
    <xf numFmtId="0" fontId="29" fillId="0" borderId="34" xfId="0" applyFont="1" applyBorder="1" applyAlignment="1">
      <alignment horizontal="center" vertical="top"/>
    </xf>
    <xf numFmtId="0" fontId="29" fillId="15" borderId="0" xfId="0" applyFont="1" applyFill="1" applyAlignment="1">
      <alignment horizontal="center" vertical="top"/>
    </xf>
    <xf numFmtId="0" fontId="0" fillId="0" borderId="32" xfId="0" applyNumberFormat="1" applyBorder="1" applyAlignment="1">
      <alignment horizontal="left" vertical="top"/>
    </xf>
    <xf numFmtId="38" fontId="0" fillId="0" borderId="34" xfId="0" applyNumberFormat="1" applyBorder="1" applyAlignment="1">
      <alignment vertical="top"/>
    </xf>
    <xf numFmtId="38" fontId="1" fillId="0" borderId="0" xfId="91" applyNumberFormat="1" applyFont="1" applyAlignment="1">
      <alignment vertical="top"/>
    </xf>
    <xf numFmtId="38" fontId="0" fillId="0" borderId="0" xfId="0" applyNumberFormat="1" applyAlignment="1">
      <alignment vertical="top"/>
    </xf>
    <xf numFmtId="38" fontId="0" fillId="2" borderId="0" xfId="0" applyNumberFormat="1" applyFill="1" applyAlignment="1">
      <alignment vertical="top"/>
    </xf>
    <xf numFmtId="38" fontId="0" fillId="13" borderId="0" xfId="0" applyNumberFormat="1" applyFill="1" applyAlignment="1">
      <alignment vertical="top"/>
    </xf>
    <xf numFmtId="38" fontId="1" fillId="13" borderId="0" xfId="91" applyNumberFormat="1" applyFont="1" applyFill="1" applyAlignment="1">
      <alignment vertical="top"/>
    </xf>
    <xf numFmtId="38" fontId="29" fillId="15" borderId="0" xfId="0" applyNumberFormat="1" applyFont="1" applyFill="1" applyAlignment="1">
      <alignment vertical="top"/>
    </xf>
    <xf numFmtId="38" fontId="0" fillId="14" borderId="0" xfId="0" applyNumberFormat="1" applyFill="1" applyAlignment="1">
      <alignment vertical="top"/>
    </xf>
    <xf numFmtId="0" fontId="0" fillId="16" borderId="32" xfId="0" applyFill="1" applyBorder="1" applyAlignment="1">
      <alignment vertical="top"/>
    </xf>
    <xf numFmtId="40" fontId="29" fillId="15" borderId="0" xfId="0" applyNumberFormat="1" applyFont="1" applyFill="1" applyAlignment="1">
      <alignment vertical="top"/>
    </xf>
    <xf numFmtId="0" fontId="0" fillId="0" borderId="36" xfId="0" applyBorder="1" applyAlignment="1">
      <alignment vertical="top"/>
    </xf>
    <xf numFmtId="0" fontId="29" fillId="17" borderId="37" xfId="0" applyFont="1" applyFill="1" applyBorder="1" applyAlignment="1">
      <alignment vertical="top"/>
    </xf>
    <xf numFmtId="0" fontId="29" fillId="17" borderId="38" xfId="0" applyFont="1" applyFill="1" applyBorder="1" applyAlignment="1">
      <alignment vertical="top"/>
    </xf>
    <xf numFmtId="38" fontId="29" fillId="17" borderId="31" xfId="0" applyNumberFormat="1" applyFont="1" applyFill="1" applyBorder="1" applyAlignment="1">
      <alignment vertical="top"/>
    </xf>
    <xf numFmtId="38" fontId="29" fillId="2" borderId="31" xfId="0" applyNumberFormat="1" applyFont="1" applyFill="1" applyBorder="1" applyAlignment="1">
      <alignment vertical="top"/>
    </xf>
    <xf numFmtId="38" fontId="29" fillId="0" borderId="0" xfId="0" applyNumberFormat="1" applyFont="1" applyAlignment="1">
      <alignment vertical="top"/>
    </xf>
    <xf numFmtId="38" fontId="0" fillId="0" borderId="0" xfId="0" applyNumberFormat="1" applyBorder="1" applyAlignment="1">
      <alignment vertical="top"/>
    </xf>
    <xf numFmtId="38" fontId="1" fillId="2" borderId="0" xfId="91" applyNumberFormat="1" applyFont="1" applyFill="1" applyAlignment="1">
      <alignment vertical="top"/>
    </xf>
    <xf numFmtId="0" fontId="0" fillId="0" borderId="0" xfId="0" applyAlignment="1">
      <alignment horizontal="left" wrapText="1"/>
    </xf>
    <xf numFmtId="0" fontId="0" fillId="0" borderId="6" xfId="0" applyBorder="1" applyAlignment="1">
      <alignment horizontal="center"/>
    </xf>
    <xf numFmtId="176" fontId="0" fillId="0" borderId="0" xfId="0" applyNumberFormat="1" applyAlignment="1">
      <alignment horizontal="right" wrapText="1"/>
    </xf>
    <xf numFmtId="168" fontId="0" fillId="0" borderId="0" xfId="0" applyNumberFormat="1" applyAlignment="1">
      <alignment horizontal="right" wrapText="1"/>
    </xf>
    <xf numFmtId="0" fontId="0" fillId="0" borderId="0" xfId="0" applyAlignment="1">
      <alignment horizontal="right" wrapText="1"/>
    </xf>
    <xf numFmtId="171" fontId="0" fillId="0" borderId="0" xfId="0" applyNumberFormat="1" applyAlignment="1">
      <alignment horizontal="right" wrapText="1"/>
    </xf>
    <xf numFmtId="0" fontId="0" fillId="0" borderId="0" xfId="0" applyAlignment="1">
      <alignment horizontal="left" wrapText="1" indent="1"/>
    </xf>
    <xf numFmtId="172" fontId="0" fillId="0" borderId="0" xfId="0" applyNumberFormat="1" applyAlignment="1">
      <alignment horizontal="right" wrapText="1"/>
    </xf>
    <xf numFmtId="172" fontId="0" fillId="0" borderId="6" xfId="0" applyNumberFormat="1" applyBorder="1" applyAlignment="1">
      <alignment horizontal="right" wrapText="1"/>
    </xf>
    <xf numFmtId="168" fontId="0" fillId="0" borderId="6" xfId="0" applyNumberFormat="1" applyBorder="1" applyAlignment="1">
      <alignment horizontal="right" wrapText="1"/>
    </xf>
    <xf numFmtId="168" fontId="0" fillId="0" borderId="7" xfId="0" applyNumberFormat="1" applyBorder="1" applyAlignment="1">
      <alignment horizontal="right" wrapText="1"/>
    </xf>
    <xf numFmtId="0" fontId="0" fillId="0" borderId="39" xfId="0" applyBorder="1" applyAlignment="1">
      <alignment horizontal="left" wrapText="1"/>
    </xf>
    <xf numFmtId="168" fontId="0" fillId="0" borderId="40" xfId="0" applyNumberFormat="1" applyBorder="1" applyAlignment="1">
      <alignment horizontal="right" wrapText="1"/>
    </xf>
    <xf numFmtId="168" fontId="0" fillId="0" borderId="41" xfId="0" applyNumberFormat="1" applyBorder="1" applyAlignment="1">
      <alignment horizontal="right" wrapText="1"/>
    </xf>
    <xf numFmtId="0" fontId="0" fillId="0" borderId="42" xfId="0" applyBorder="1" applyAlignment="1">
      <alignment horizontal="left" wrapText="1"/>
    </xf>
    <xf numFmtId="168" fontId="0" fillId="0" borderId="43" xfId="0" applyNumberFormat="1" applyBorder="1" applyAlignment="1">
      <alignment horizontal="right" wrapText="1"/>
    </xf>
    <xf numFmtId="171" fontId="0" fillId="0" borderId="6" xfId="0" applyNumberFormat="1" applyBorder="1" applyAlignment="1">
      <alignment horizontal="right" wrapText="1"/>
    </xf>
    <xf numFmtId="171" fontId="0" fillId="0" borderId="43" xfId="0" applyNumberFormat="1" applyBorder="1" applyAlignment="1">
      <alignment horizontal="right" wrapText="1"/>
    </xf>
    <xf numFmtId="0" fontId="0" fillId="0" borderId="6" xfId="0" applyBorder="1" applyAlignment="1">
      <alignment horizontal="right" wrapText="1"/>
    </xf>
    <xf numFmtId="170" fontId="0" fillId="0" borderId="0" xfId="0" applyNumberFormat="1" applyAlignment="1">
      <alignment horizontal="right" wrapText="1"/>
    </xf>
    <xf numFmtId="168" fontId="0" fillId="0" borderId="0" xfId="0" applyNumberFormat="1"/>
    <xf numFmtId="173" fontId="0" fillId="0" borderId="0" xfId="0" applyNumberFormat="1" applyAlignment="1">
      <alignment horizontal="right" wrapText="1"/>
    </xf>
    <xf numFmtId="166" fontId="0" fillId="0" borderId="0" xfId="0" applyNumberFormat="1" applyAlignment="1">
      <alignment horizontal="right" wrapText="1"/>
    </xf>
    <xf numFmtId="164" fontId="2" fillId="0" borderId="1" xfId="1" applyNumberFormat="1" applyFont="1" applyBorder="1"/>
    <xf numFmtId="164" fontId="2" fillId="0" borderId="0" xfId="1" applyNumberFormat="1" applyFont="1" applyBorder="1"/>
    <xf numFmtId="0" fontId="2" fillId="0" borderId="1" xfId="0" applyFont="1" applyFill="1" applyBorder="1"/>
    <xf numFmtId="164" fontId="0" fillId="0" borderId="0" xfId="1" applyNumberFormat="1" applyFont="1" applyFill="1"/>
    <xf numFmtId="43" fontId="0" fillId="0" borderId="0" xfId="1" applyFont="1" applyFill="1"/>
    <xf numFmtId="43" fontId="0" fillId="0" borderId="0" xfId="1" applyFont="1" applyFill="1" applyAlignment="1">
      <alignment horizontal="right"/>
    </xf>
    <xf numFmtId="43" fontId="0" fillId="0" borderId="1" xfId="1" applyFont="1" applyFill="1" applyBorder="1"/>
    <xf numFmtId="164" fontId="2" fillId="0" borderId="0" xfId="0" applyNumberFormat="1" applyFont="1" applyBorder="1"/>
    <xf numFmtId="0" fontId="0" fillId="0" borderId="0" xfId="0" applyFill="1" applyBorder="1" applyAlignment="1">
      <alignment horizontal="left" indent="1"/>
    </xf>
    <xf numFmtId="0" fontId="3" fillId="5" borderId="13" xfId="89" applyFont="1" applyFill="1" applyBorder="1" applyAlignment="1">
      <alignment vertical="center" wrapText="1"/>
    </xf>
    <xf numFmtId="175" fontId="20" fillId="7" borderId="14" xfId="1" applyNumberFormat="1" applyFont="1" applyFill="1" applyBorder="1" applyAlignment="1">
      <alignment vertical="center"/>
    </xf>
    <xf numFmtId="0" fontId="0" fillId="5" borderId="0" xfId="0" applyFill="1" applyAlignment="1">
      <alignment vertical="center"/>
    </xf>
    <xf numFmtId="43" fontId="0" fillId="5" borderId="13" xfId="1" applyFont="1" applyFill="1" applyBorder="1" applyAlignment="1">
      <alignment vertical="center"/>
    </xf>
    <xf numFmtId="175" fontId="21" fillId="7" borderId="14" xfId="1" applyNumberFormat="1" applyFont="1" applyFill="1" applyBorder="1" applyAlignment="1">
      <alignment vertical="center"/>
    </xf>
    <xf numFmtId="175" fontId="20" fillId="8" borderId="15" xfId="1" applyNumberFormat="1" applyFont="1" applyFill="1" applyBorder="1" applyAlignment="1">
      <alignment vertical="center"/>
    </xf>
    <xf numFmtId="0" fontId="0" fillId="0" borderId="0" xfId="0" applyNumberFormat="1" applyAlignment="1">
      <alignment horizontal="left"/>
    </xf>
    <xf numFmtId="0" fontId="2" fillId="16" borderId="0" xfId="0" applyFont="1" applyFill="1"/>
    <xf numFmtId="164" fontId="2" fillId="0" borderId="0" xfId="0" applyNumberFormat="1" applyFont="1" applyFill="1" applyBorder="1"/>
    <xf numFmtId="0" fontId="2" fillId="12" borderId="45" xfId="0" applyFont="1" applyFill="1" applyBorder="1"/>
    <xf numFmtId="164" fontId="2" fillId="12" borderId="45" xfId="0" applyNumberFormat="1" applyFont="1" applyFill="1" applyBorder="1"/>
    <xf numFmtId="0" fontId="2" fillId="18" borderId="20" xfId="0" applyFont="1" applyFill="1" applyBorder="1" applyAlignment="1">
      <alignment horizontal="center"/>
    </xf>
    <xf numFmtId="164" fontId="1" fillId="0" borderId="30" xfId="1" applyNumberFormat="1" applyFont="1" applyFill="1" applyBorder="1"/>
    <xf numFmtId="0" fontId="0" fillId="15" borderId="4" xfId="0" applyFont="1" applyFill="1" applyBorder="1"/>
    <xf numFmtId="0" fontId="0" fillId="0" borderId="4" xfId="0" applyFont="1" applyFill="1" applyBorder="1"/>
    <xf numFmtId="0" fontId="0" fillId="0" borderId="0" xfId="0" applyFill="1" applyBorder="1"/>
    <xf numFmtId="164" fontId="2" fillId="12" borderId="0" xfId="0" applyNumberFormat="1" applyFont="1" applyFill="1" applyBorder="1"/>
    <xf numFmtId="164" fontId="1" fillId="0" borderId="0" xfId="1" applyNumberFormat="1" applyFont="1" applyFill="1" applyBorder="1"/>
    <xf numFmtId="164" fontId="2" fillId="0" borderId="30" xfId="0" applyNumberFormat="1" applyFont="1" applyFill="1" applyBorder="1"/>
    <xf numFmtId="164" fontId="2" fillId="12" borderId="30" xfId="0" applyNumberFormat="1" applyFont="1" applyFill="1" applyBorder="1"/>
    <xf numFmtId="164" fontId="2" fillId="0" borderId="1" xfId="0" applyNumberFormat="1" applyFont="1" applyFill="1" applyBorder="1"/>
    <xf numFmtId="164" fontId="2" fillId="12" borderId="1" xfId="0" applyNumberFormat="1" applyFont="1" applyFill="1" applyBorder="1"/>
    <xf numFmtId="164" fontId="2" fillId="0" borderId="44" xfId="0" applyNumberFormat="1" applyFont="1" applyFill="1" applyBorder="1"/>
    <xf numFmtId="0" fontId="0" fillId="0" borderId="4" xfId="0" applyFill="1" applyBorder="1"/>
    <xf numFmtId="164" fontId="2" fillId="0" borderId="4" xfId="0" applyNumberFormat="1" applyFont="1" applyFill="1" applyBorder="1"/>
    <xf numFmtId="164" fontId="1" fillId="0" borderId="4" xfId="1" applyNumberFormat="1" applyFont="1" applyFill="1" applyBorder="1"/>
    <xf numFmtId="164" fontId="2" fillId="12" borderId="4" xfId="0" applyNumberFormat="1" applyFont="1" applyFill="1" applyBorder="1"/>
    <xf numFmtId="164" fontId="2" fillId="0" borderId="3" xfId="0" applyNumberFormat="1" applyFont="1" applyFill="1" applyBorder="1"/>
    <xf numFmtId="0" fontId="35" fillId="0" borderId="4" xfId="0" applyFont="1" applyFill="1" applyBorder="1" applyAlignment="1">
      <alignment horizontal="right"/>
    </xf>
    <xf numFmtId="0" fontId="35" fillId="0" borderId="3" xfId="0" applyFont="1" applyFill="1" applyBorder="1" applyAlignment="1">
      <alignment horizontal="right"/>
    </xf>
    <xf numFmtId="0" fontId="0" fillId="5" borderId="14" xfId="0" applyFill="1" applyBorder="1" applyAlignment="1">
      <alignment wrapText="1"/>
    </xf>
    <xf numFmtId="174" fontId="13" fillId="5" borderId="13" xfId="89" applyNumberFormat="1" applyFont="1" applyFill="1" applyBorder="1" applyAlignment="1">
      <alignment horizontal="left" vertical="center" wrapText="1"/>
    </xf>
    <xf numFmtId="164" fontId="19" fillId="10" borderId="15" xfId="1" applyNumberFormat="1" applyFont="1" applyFill="1" applyBorder="1" applyAlignment="1">
      <alignment horizontal="center" vertical="center" wrapText="1"/>
    </xf>
    <xf numFmtId="17" fontId="2" fillId="18" borderId="20" xfId="0" applyNumberFormat="1" applyFont="1" applyFill="1" applyBorder="1" applyAlignment="1">
      <alignment horizontal="center"/>
    </xf>
    <xf numFmtId="0" fontId="0" fillId="0" borderId="2" xfId="0" applyFill="1" applyBorder="1"/>
    <xf numFmtId="0" fontId="0" fillId="0" borderId="47" xfId="0" applyBorder="1"/>
    <xf numFmtId="164" fontId="2" fillId="12" borderId="46" xfId="0" applyNumberFormat="1" applyFont="1" applyFill="1" applyBorder="1"/>
    <xf numFmtId="43" fontId="0" fillId="5" borderId="0" xfId="1" applyFont="1" applyFill="1" applyBorder="1" applyAlignment="1">
      <alignment vertical="center"/>
    </xf>
    <xf numFmtId="43" fontId="0" fillId="5" borderId="0" xfId="1" applyFont="1" applyFill="1"/>
    <xf numFmtId="0" fontId="38" fillId="0" borderId="0" xfId="0" applyFont="1"/>
    <xf numFmtId="0" fontId="2" fillId="0" borderId="19" xfId="0" applyFont="1" applyBorder="1"/>
    <xf numFmtId="164" fontId="2" fillId="2" borderId="0" xfId="1" applyNumberFormat="1" applyFont="1" applyFill="1" applyAlignment="1">
      <alignment horizontal="right"/>
    </xf>
    <xf numFmtId="164" fontId="2" fillId="0" borderId="19" xfId="1" applyNumberFormat="1" applyFont="1" applyBorder="1" applyAlignment="1"/>
    <xf numFmtId="0" fontId="2" fillId="16" borderId="48" xfId="0" applyFont="1" applyFill="1" applyBorder="1" applyAlignment="1">
      <alignment vertical="top" wrapText="1"/>
    </xf>
    <xf numFmtId="0" fontId="0" fillId="0" borderId="0" xfId="0" applyAlignment="1"/>
    <xf numFmtId="0" fontId="42" fillId="0" borderId="6" xfId="0" applyFont="1" applyBorder="1" applyAlignment="1">
      <alignment horizontal="center"/>
    </xf>
    <xf numFmtId="0" fontId="42" fillId="0" borderId="0" xfId="0" applyFont="1" applyAlignment="1">
      <alignment horizontal="left"/>
    </xf>
    <xf numFmtId="0" fontId="42" fillId="0" borderId="0" xfId="0" applyFont="1" applyAlignment="1">
      <alignment horizontal="right"/>
    </xf>
    <xf numFmtId="0" fontId="43" fillId="0" borderId="0" xfId="0" applyFont="1" applyAlignment="1">
      <alignment horizontal="left"/>
    </xf>
    <xf numFmtId="0" fontId="43" fillId="0" borderId="0" xfId="0" applyFont="1" applyAlignment="1">
      <alignment horizontal="right"/>
    </xf>
    <xf numFmtId="0" fontId="44" fillId="0" borderId="0" xfId="0" applyFont="1" applyAlignment="1">
      <alignment horizontal="left"/>
    </xf>
    <xf numFmtId="0" fontId="44" fillId="0" borderId="0" xfId="0" applyFont="1" applyAlignment="1">
      <alignment horizontal="right"/>
    </xf>
    <xf numFmtId="0" fontId="41" fillId="0" borderId="0" xfId="0" applyFont="1" applyAlignment="1">
      <alignment horizontal="left"/>
    </xf>
    <xf numFmtId="165" fontId="41" fillId="0" borderId="0" xfId="0" applyNumberFormat="1" applyFont="1" applyAlignment="1">
      <alignment horizontal="right"/>
    </xf>
    <xf numFmtId="0" fontId="41" fillId="0" borderId="0" xfId="0" applyFont="1" applyAlignment="1">
      <alignment horizontal="right"/>
    </xf>
    <xf numFmtId="165" fontId="41" fillId="0" borderId="6" xfId="0" applyNumberFormat="1" applyFont="1" applyBorder="1" applyAlignment="1">
      <alignment horizontal="right"/>
    </xf>
    <xf numFmtId="165" fontId="44" fillId="0" borderId="0" xfId="0" applyNumberFormat="1" applyFont="1" applyAlignment="1">
      <alignment horizontal="right"/>
    </xf>
    <xf numFmtId="0" fontId="41" fillId="0" borderId="6" xfId="0" applyFont="1" applyBorder="1" applyAlignment="1">
      <alignment horizontal="right"/>
    </xf>
    <xf numFmtId="0" fontId="44" fillId="0" borderId="6" xfId="0" applyFont="1" applyBorder="1" applyAlignment="1">
      <alignment horizontal="right"/>
    </xf>
    <xf numFmtId="0" fontId="42" fillId="0" borderId="6" xfId="0" applyFont="1" applyBorder="1" applyAlignment="1">
      <alignment horizontal="right"/>
    </xf>
    <xf numFmtId="165" fontId="44" fillId="0" borderId="7" xfId="0" applyNumberFormat="1" applyFont="1" applyBorder="1" applyAlignment="1">
      <alignment horizontal="right"/>
    </xf>
    <xf numFmtId="0" fontId="45" fillId="0" borderId="0" xfId="0" applyFont="1" applyAlignment="1">
      <alignment horizontal="left"/>
    </xf>
    <xf numFmtId="0" fontId="45" fillId="0" borderId="0" xfId="0" applyFont="1" applyAlignment="1">
      <alignment horizontal="right"/>
    </xf>
    <xf numFmtId="171" fontId="41" fillId="0" borderId="0" xfId="0" applyNumberFormat="1" applyFont="1" applyAlignment="1">
      <alignment horizontal="right"/>
    </xf>
    <xf numFmtId="171" fontId="44" fillId="0" borderId="0" xfId="0" applyNumberFormat="1" applyFont="1" applyAlignment="1">
      <alignment horizontal="right"/>
    </xf>
    <xf numFmtId="177" fontId="44" fillId="0" borderId="7" xfId="0" applyNumberFormat="1" applyFont="1" applyBorder="1" applyAlignment="1">
      <alignment horizontal="right"/>
    </xf>
    <xf numFmtId="177" fontId="41" fillId="0" borderId="0" xfId="0" applyNumberFormat="1" applyFont="1" applyAlignment="1">
      <alignment horizontal="right"/>
    </xf>
    <xf numFmtId="0" fontId="0" fillId="0" borderId="0" xfId="0" applyAlignment="1">
      <alignment horizontal="left"/>
    </xf>
    <xf numFmtId="178" fontId="41" fillId="0" borderId="0" xfId="0" applyNumberFormat="1" applyFont="1" applyAlignment="1">
      <alignment horizontal="right"/>
    </xf>
    <xf numFmtId="178" fontId="44" fillId="0" borderId="7" xfId="0" applyNumberFormat="1" applyFont="1" applyBorder="1" applyAlignment="1">
      <alignment horizontal="right"/>
    </xf>
    <xf numFmtId="0" fontId="46" fillId="0" borderId="0" xfId="0" applyFont="1" applyAlignment="1">
      <alignment horizontal="left"/>
    </xf>
    <xf numFmtId="0" fontId="46" fillId="0" borderId="0" xfId="0" applyFont="1" applyAlignment="1">
      <alignment horizontal="right"/>
    </xf>
    <xf numFmtId="0" fontId="44" fillId="0" borderId="7" xfId="0" applyFont="1" applyBorder="1" applyAlignment="1">
      <alignment horizontal="right"/>
    </xf>
    <xf numFmtId="0" fontId="39" fillId="0" borderId="19" xfId="0" applyFont="1" applyBorder="1" applyAlignment="1">
      <alignment horizontal="center"/>
    </xf>
    <xf numFmtId="0" fontId="29" fillId="0" borderId="35" xfId="0" applyFont="1" applyBorder="1" applyAlignment="1">
      <alignment horizontal="center" vertical="top" wrapText="1"/>
    </xf>
    <xf numFmtId="0" fontId="41" fillId="0" borderId="0" xfId="0" applyFont="1" applyAlignment="1">
      <alignment horizontal="center" wrapText="1"/>
    </xf>
    <xf numFmtId="0" fontId="40" fillId="0" borderId="0" xfId="0" applyFont="1" applyAlignment="1">
      <alignment horizontal="center" wrapText="1"/>
    </xf>
    <xf numFmtId="0" fontId="0" fillId="0" borderId="0" xfId="0" applyAlignment="1">
      <alignment horizontal="center" wrapText="1"/>
    </xf>
    <xf numFmtId="0" fontId="0" fillId="0" borderId="5" xfId="0" applyBorder="1" applyAlignment="1">
      <alignment horizontal="center"/>
    </xf>
    <xf numFmtId="0" fontId="0" fillId="0" borderId="0" xfId="0" applyFill="1" applyAlignment="1">
      <alignment horizontal="center" wrapText="1"/>
    </xf>
    <xf numFmtId="0" fontId="22" fillId="0" borderId="0" xfId="0" applyFont="1" applyFill="1" applyAlignment="1">
      <alignment horizontal="center" wrapText="1"/>
    </xf>
    <xf numFmtId="0" fontId="23" fillId="0" borderId="5" xfId="0" applyFont="1" applyFill="1" applyBorder="1" applyAlignment="1">
      <alignment horizontal="center"/>
    </xf>
  </cellXfs>
  <cellStyles count="100">
    <cellStyle name="ColumnHeading" xfId="92" xr:uid="{00000000-0005-0000-0000-000000000000}"/>
    <cellStyle name="Comma" xfId="1" builtinId="3"/>
    <cellStyle name="Comma 13" xfId="93" xr:uid="{00000000-0005-0000-0000-000002000000}"/>
    <cellStyle name="Comma 2" xfId="4" xr:uid="{00000000-0005-0000-0000-000003000000}"/>
    <cellStyle name="Comma 2 2" xfId="87" xr:uid="{00000000-0005-0000-0000-000004000000}"/>
    <cellStyle name="Comma 3" xfId="6" xr:uid="{00000000-0005-0000-0000-000005000000}"/>
    <cellStyle name="Comma 4" xfId="10" xr:uid="{00000000-0005-0000-0000-000006000000}"/>
    <cellStyle name="Comma 5" xfId="91" xr:uid="{00000000-0005-0000-0000-000007000000}"/>
    <cellStyle name="Currency 2" xfId="12" xr:uid="{00000000-0005-0000-0000-000008000000}"/>
    <cellStyle name="Currency 3" xfId="13" xr:uid="{00000000-0005-0000-0000-000009000000}"/>
    <cellStyle name="FRxAmtStyle" xfId="9" xr:uid="{00000000-0005-0000-0000-00000A000000}"/>
    <cellStyle name="FRxAmtStyle 10" xfId="14" xr:uid="{00000000-0005-0000-0000-00000B000000}"/>
    <cellStyle name="FRxAmtStyle 11" xfId="15" xr:uid="{00000000-0005-0000-0000-00000C000000}"/>
    <cellStyle name="FRxAmtStyle 12" xfId="16" xr:uid="{00000000-0005-0000-0000-00000D000000}"/>
    <cellStyle name="FRxAmtStyle 13" xfId="17" xr:uid="{00000000-0005-0000-0000-00000E000000}"/>
    <cellStyle name="FRxAmtStyle 14" xfId="18" xr:uid="{00000000-0005-0000-0000-00000F000000}"/>
    <cellStyle name="FRxAmtStyle 15" xfId="19" xr:uid="{00000000-0005-0000-0000-000010000000}"/>
    <cellStyle name="FRxAmtStyle 16" xfId="20" xr:uid="{00000000-0005-0000-0000-000011000000}"/>
    <cellStyle name="FRxAmtStyle 17" xfId="21" xr:uid="{00000000-0005-0000-0000-000012000000}"/>
    <cellStyle name="FRxAmtStyle 18" xfId="22" xr:uid="{00000000-0005-0000-0000-000013000000}"/>
    <cellStyle name="FRxAmtStyle 19" xfId="23" xr:uid="{00000000-0005-0000-0000-000014000000}"/>
    <cellStyle name="FRxAmtStyle 2" xfId="24" xr:uid="{00000000-0005-0000-0000-000015000000}"/>
    <cellStyle name="FRxAmtStyle 20" xfId="25" xr:uid="{00000000-0005-0000-0000-000016000000}"/>
    <cellStyle name="FRxAmtStyle 21" xfId="26" xr:uid="{00000000-0005-0000-0000-000017000000}"/>
    <cellStyle name="FRxAmtStyle 22" xfId="27" xr:uid="{00000000-0005-0000-0000-000018000000}"/>
    <cellStyle name="FRxAmtStyle 23" xfId="28" xr:uid="{00000000-0005-0000-0000-000019000000}"/>
    <cellStyle name="FRxAmtStyle 24" xfId="29" xr:uid="{00000000-0005-0000-0000-00001A000000}"/>
    <cellStyle name="FRxAmtStyle 25" xfId="30" xr:uid="{00000000-0005-0000-0000-00001B000000}"/>
    <cellStyle name="FRxAmtStyle 26" xfId="31" xr:uid="{00000000-0005-0000-0000-00001C000000}"/>
    <cellStyle name="FRxAmtStyle 27" xfId="32" xr:uid="{00000000-0005-0000-0000-00001D000000}"/>
    <cellStyle name="FRxAmtStyle 28" xfId="33" xr:uid="{00000000-0005-0000-0000-00001E000000}"/>
    <cellStyle name="FRxAmtStyle 29" xfId="34" xr:uid="{00000000-0005-0000-0000-00001F000000}"/>
    <cellStyle name="FRxAmtStyle 3" xfId="35" xr:uid="{00000000-0005-0000-0000-000020000000}"/>
    <cellStyle name="FRxAmtStyle 30" xfId="36" xr:uid="{00000000-0005-0000-0000-000021000000}"/>
    <cellStyle name="FRxAmtStyle 31" xfId="37" xr:uid="{00000000-0005-0000-0000-000022000000}"/>
    <cellStyle name="FRxAmtStyle 32" xfId="38" xr:uid="{00000000-0005-0000-0000-000023000000}"/>
    <cellStyle name="FRxAmtStyle 33" xfId="39" xr:uid="{00000000-0005-0000-0000-000024000000}"/>
    <cellStyle name="FRxAmtStyle 34" xfId="40" xr:uid="{00000000-0005-0000-0000-000025000000}"/>
    <cellStyle name="FRxAmtStyle 35" xfId="41" xr:uid="{00000000-0005-0000-0000-000026000000}"/>
    <cellStyle name="FRxAmtStyle 36" xfId="11" xr:uid="{00000000-0005-0000-0000-000027000000}"/>
    <cellStyle name="FRxAmtStyle 4" xfId="42" xr:uid="{00000000-0005-0000-0000-000028000000}"/>
    <cellStyle name="FRxAmtStyle 5" xfId="43" xr:uid="{00000000-0005-0000-0000-000029000000}"/>
    <cellStyle name="FRxAmtStyle 6" xfId="44" xr:uid="{00000000-0005-0000-0000-00002A000000}"/>
    <cellStyle name="FRxAmtStyle 7" xfId="45" xr:uid="{00000000-0005-0000-0000-00002B000000}"/>
    <cellStyle name="FRxAmtStyle 8" xfId="46" xr:uid="{00000000-0005-0000-0000-00002C000000}"/>
    <cellStyle name="FRxAmtStyle 9" xfId="47" xr:uid="{00000000-0005-0000-0000-00002D000000}"/>
    <cellStyle name="FRxCurrStyle" xfId="48" xr:uid="{00000000-0005-0000-0000-00002E000000}"/>
    <cellStyle name="FRxPcntStyle" xfId="49" xr:uid="{00000000-0005-0000-0000-00002F000000}"/>
    <cellStyle name="Heading 4 2" xfId="50" xr:uid="{00000000-0005-0000-0000-000030000000}"/>
    <cellStyle name="Normal" xfId="0" builtinId="0"/>
    <cellStyle name="Normal 10" xfId="51" xr:uid="{00000000-0005-0000-0000-000032000000}"/>
    <cellStyle name="Normal 11" xfId="52" xr:uid="{00000000-0005-0000-0000-000033000000}"/>
    <cellStyle name="Normal 12" xfId="53" xr:uid="{00000000-0005-0000-0000-000034000000}"/>
    <cellStyle name="Normal 13" xfId="54" xr:uid="{00000000-0005-0000-0000-000035000000}"/>
    <cellStyle name="Normal 14" xfId="55" xr:uid="{00000000-0005-0000-0000-000036000000}"/>
    <cellStyle name="Normal 15" xfId="56" xr:uid="{00000000-0005-0000-0000-000037000000}"/>
    <cellStyle name="Normal 16" xfId="57" xr:uid="{00000000-0005-0000-0000-000038000000}"/>
    <cellStyle name="Normal 17" xfId="58" xr:uid="{00000000-0005-0000-0000-000039000000}"/>
    <cellStyle name="Normal 18" xfId="59" xr:uid="{00000000-0005-0000-0000-00003A000000}"/>
    <cellStyle name="Normal 19" xfId="60" xr:uid="{00000000-0005-0000-0000-00003B000000}"/>
    <cellStyle name="Normal 2" xfId="2" xr:uid="{00000000-0005-0000-0000-00003C000000}"/>
    <cellStyle name="Normal 2 2 2" xfId="94" xr:uid="{00000000-0005-0000-0000-00003D000000}"/>
    <cellStyle name="Normal 20" xfId="61" xr:uid="{00000000-0005-0000-0000-00003E000000}"/>
    <cellStyle name="Normal 21" xfId="62" xr:uid="{00000000-0005-0000-0000-00003F000000}"/>
    <cellStyle name="Normal 22" xfId="63" xr:uid="{00000000-0005-0000-0000-000040000000}"/>
    <cellStyle name="Normal 23" xfId="64" xr:uid="{00000000-0005-0000-0000-000041000000}"/>
    <cellStyle name="Normal 24" xfId="65" xr:uid="{00000000-0005-0000-0000-000042000000}"/>
    <cellStyle name="Normal 25" xfId="66" xr:uid="{00000000-0005-0000-0000-000043000000}"/>
    <cellStyle name="Normal 26" xfId="67" xr:uid="{00000000-0005-0000-0000-000044000000}"/>
    <cellStyle name="Normal 27" xfId="68" xr:uid="{00000000-0005-0000-0000-000045000000}"/>
    <cellStyle name="Normal 28" xfId="69" xr:uid="{00000000-0005-0000-0000-000046000000}"/>
    <cellStyle name="Normal 29" xfId="70" xr:uid="{00000000-0005-0000-0000-000047000000}"/>
    <cellStyle name="Normal 3" xfId="3" xr:uid="{00000000-0005-0000-0000-000048000000}"/>
    <cellStyle name="Normal 30" xfId="71" xr:uid="{00000000-0005-0000-0000-000049000000}"/>
    <cellStyle name="Normal 31" xfId="72" xr:uid="{00000000-0005-0000-0000-00004A000000}"/>
    <cellStyle name="Normal 32" xfId="73" xr:uid="{00000000-0005-0000-0000-00004B000000}"/>
    <cellStyle name="Normal 33" xfId="74" xr:uid="{00000000-0005-0000-0000-00004C000000}"/>
    <cellStyle name="Normal 34" xfId="88" xr:uid="{00000000-0005-0000-0000-00004D000000}"/>
    <cellStyle name="Normal 35" xfId="90" xr:uid="{00000000-0005-0000-0000-00004E000000}"/>
    <cellStyle name="Normal 36" xfId="95" xr:uid="{00000000-0005-0000-0000-00004F000000}"/>
    <cellStyle name="Normal 37" xfId="96" xr:uid="{00000000-0005-0000-0000-000050000000}"/>
    <cellStyle name="Normal 38" xfId="97" xr:uid="{00000000-0005-0000-0000-000051000000}"/>
    <cellStyle name="Normal 39" xfId="98" xr:uid="{00000000-0005-0000-0000-000052000000}"/>
    <cellStyle name="Normal 4" xfId="8" xr:uid="{00000000-0005-0000-0000-000053000000}"/>
    <cellStyle name="Normal 40" xfId="99" xr:uid="{00000000-0005-0000-0000-000054000000}"/>
    <cellStyle name="Normal 5" xfId="75" xr:uid="{00000000-0005-0000-0000-000055000000}"/>
    <cellStyle name="Normal 6" xfId="76" xr:uid="{00000000-0005-0000-0000-000056000000}"/>
    <cellStyle name="Normal 7" xfId="77" xr:uid="{00000000-0005-0000-0000-000057000000}"/>
    <cellStyle name="Normal 8" xfId="78" xr:uid="{00000000-0005-0000-0000-000058000000}"/>
    <cellStyle name="Normal 9" xfId="79" xr:uid="{00000000-0005-0000-0000-000059000000}"/>
    <cellStyle name="Normal_Summerville Covenant Compliance Worksheet - 200510062" xfId="89" xr:uid="{00000000-0005-0000-0000-00005A000000}"/>
    <cellStyle name="Percent 2" xfId="5" xr:uid="{00000000-0005-0000-0000-00005B000000}"/>
    <cellStyle name="Percent 3" xfId="7" xr:uid="{00000000-0005-0000-0000-00005C000000}"/>
    <cellStyle name="STYLE1" xfId="80" xr:uid="{00000000-0005-0000-0000-00005D000000}"/>
    <cellStyle name="STYLE2" xfId="81" xr:uid="{00000000-0005-0000-0000-00005E000000}"/>
    <cellStyle name="STYLE3" xfId="82" xr:uid="{00000000-0005-0000-0000-00005F000000}"/>
    <cellStyle name="STYLE4" xfId="83" xr:uid="{00000000-0005-0000-0000-000060000000}"/>
    <cellStyle name="STYLE5" xfId="84" xr:uid="{00000000-0005-0000-0000-000061000000}"/>
    <cellStyle name="STYLE6" xfId="85" xr:uid="{00000000-0005-0000-0000-000062000000}"/>
    <cellStyle name="STYLE7" xfId="86" xr:uid="{00000000-0005-0000-0000-00006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8BD21D10-EC42-11CE-9E0D-00AA006002F3}" ax:persistence="persistStreamInit" r:id="rId1"/>
</file>

<file path=xl/activeX/activeX10.xml><?xml version="1.0" encoding="utf-8"?>
<ax:ocx xmlns:ax="http://schemas.microsoft.com/office/2006/activeX" xmlns:r="http://schemas.openxmlformats.org/officeDocument/2006/relationships" ax:classid="{8BD21D10-EC42-11CE-9E0D-00AA006002F3}" ax:persistence="persistStreamInit" r:id="rId1"/>
</file>

<file path=xl/activeX/activeX11.xml><?xml version="1.0" encoding="utf-8"?>
<ax:ocx xmlns:ax="http://schemas.microsoft.com/office/2006/activeX" xmlns:r="http://schemas.openxmlformats.org/officeDocument/2006/relationships" ax:classid="{8BD21D10-EC42-11CE-9E0D-00AA006002F3}" ax:persistence="persistStreamInit" r:id="rId1"/>
</file>

<file path=xl/activeX/activeX12.xml><?xml version="1.0" encoding="utf-8"?>
<ax:ocx xmlns:ax="http://schemas.microsoft.com/office/2006/activeX" xmlns:r="http://schemas.openxmlformats.org/officeDocument/2006/relationships" ax:classid="{8BD21D10-EC42-11CE-9E0D-00AA006002F3}" ax:persistence="persistStreamInit" r:id="rId1"/>
</file>

<file path=xl/activeX/activeX2.xml><?xml version="1.0" encoding="utf-8"?>
<ax:ocx xmlns:ax="http://schemas.microsoft.com/office/2006/activeX" xmlns:r="http://schemas.openxmlformats.org/officeDocument/2006/relationships" ax:classid="{8BD21D10-EC42-11CE-9E0D-00AA006002F3}" ax:persistence="persistStreamInit" r:id="rId1"/>
</file>

<file path=xl/activeX/activeX3.xml><?xml version="1.0" encoding="utf-8"?>
<ax:ocx xmlns:ax="http://schemas.microsoft.com/office/2006/activeX" xmlns:r="http://schemas.openxmlformats.org/officeDocument/2006/relationships" ax:classid="{8BD21D10-EC42-11CE-9E0D-00AA006002F3}" ax:persistence="persistStreamInit" r:id="rId1"/>
</file>

<file path=xl/activeX/activeX4.xml><?xml version="1.0" encoding="utf-8"?>
<ax:ocx xmlns:ax="http://schemas.microsoft.com/office/2006/activeX" xmlns:r="http://schemas.openxmlformats.org/officeDocument/2006/relationships" ax:classid="{8BD21D10-EC42-11CE-9E0D-00AA006002F3}" ax:persistence="persistStreamInit" r:id="rId1"/>
</file>

<file path=xl/activeX/activeX5.xml><?xml version="1.0" encoding="utf-8"?>
<ax:ocx xmlns:ax="http://schemas.microsoft.com/office/2006/activeX" xmlns:r="http://schemas.openxmlformats.org/officeDocument/2006/relationships" ax:classid="{8BD21D10-EC42-11CE-9E0D-00AA006002F3}" ax:persistence="persistStreamInit" r:id="rId1"/>
</file>

<file path=xl/activeX/activeX6.xml><?xml version="1.0" encoding="utf-8"?>
<ax:ocx xmlns:ax="http://schemas.microsoft.com/office/2006/activeX" xmlns:r="http://schemas.openxmlformats.org/officeDocument/2006/relationships" ax:classid="{8BD21D10-EC42-11CE-9E0D-00AA006002F3}" ax:persistence="persistStreamInit" r:id="rId1"/>
</file>

<file path=xl/activeX/activeX7.xml><?xml version="1.0" encoding="utf-8"?>
<ax:ocx xmlns:ax="http://schemas.microsoft.com/office/2006/activeX" xmlns:r="http://schemas.openxmlformats.org/officeDocument/2006/relationships" ax:classid="{8BD21D10-EC42-11CE-9E0D-00AA006002F3}" ax:persistence="persistStreamInit" r:id="rId1"/>
</file>

<file path=xl/activeX/activeX8.xml><?xml version="1.0" encoding="utf-8"?>
<ax:ocx xmlns:ax="http://schemas.microsoft.com/office/2006/activeX" xmlns:r="http://schemas.openxmlformats.org/officeDocument/2006/relationships" ax:classid="{8BD21D10-EC42-11CE-9E0D-00AA006002F3}" ax:persistence="persistStreamInit" r:id="rId1"/>
</file>

<file path=xl/activeX/activeX9.xml><?xml version="1.0" encoding="utf-8"?>
<ax:ocx xmlns:ax="http://schemas.microsoft.com/office/2006/activeX" xmlns:r="http://schemas.openxmlformats.org/officeDocument/2006/relationships" ax:classid="{8BD21D10-EC42-11CE-9E0D-00AA006002F3}"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 Id="rId4"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0.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11.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676275</xdr:colOff>
          <xdr:row>0</xdr:row>
          <xdr:rowOff>0</xdr:rowOff>
        </xdr:to>
        <xdr:sp macro="" textlink="">
          <xdr:nvSpPr>
            <xdr:cNvPr id="3073" name="FPMExcelClientSheetOptionstb1" hidden="1">
              <a:extLst>
                <a:ext uri="{63B3BB69-23CF-44E3-9099-C40C66FF867C}">
                  <a14:compatExt spid="_x0000_s3073"/>
                </a:ext>
                <a:ext uri="{FF2B5EF4-FFF2-40B4-BE49-F238E27FC236}">
                  <a16:creationId xmlns:a16="http://schemas.microsoft.com/office/drawing/2014/main" id="{00000000-0008-0000-0000-0000010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1190625</xdr:colOff>
          <xdr:row>0</xdr:row>
          <xdr:rowOff>0</xdr:rowOff>
        </xdr:to>
        <xdr:sp macro="" textlink="">
          <xdr:nvSpPr>
            <xdr:cNvPr id="1025" name="FPMExcelClientSheetOptionstb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1190625</xdr:colOff>
          <xdr:row>0</xdr:row>
          <xdr:rowOff>0</xdr:rowOff>
        </xdr:to>
        <xdr:sp macro="" textlink="">
          <xdr:nvSpPr>
            <xdr:cNvPr id="1026" name="ConnectionDescriptorsInfotb1"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1190625</xdr:colOff>
          <xdr:row>0</xdr:row>
          <xdr:rowOff>0</xdr:rowOff>
        </xdr:to>
        <xdr:sp macro="" textlink="">
          <xdr:nvSpPr>
            <xdr:cNvPr id="1027" name="MultipleReportManagerInfotb1"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1190625</xdr:colOff>
          <xdr:row>0</xdr:row>
          <xdr:rowOff>0</xdr:rowOff>
        </xdr:to>
        <xdr:sp macro="" textlink="">
          <xdr:nvSpPr>
            <xdr:cNvPr id="1028" name="AnalyzerDynReport000tb1"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0</xdr:rowOff>
        </xdr:from>
        <xdr:to>
          <xdr:col>0</xdr:col>
          <xdr:colOff>0</xdr:colOff>
          <xdr:row>1</xdr:row>
          <xdr:rowOff>0</xdr:rowOff>
        </xdr:to>
        <xdr:sp macro="" textlink="">
          <xdr:nvSpPr>
            <xdr:cNvPr id="2049" name="FPMExcelClientSheetOptionstb1" hidden="1">
              <a:extLst>
                <a:ext uri="{63B3BB69-23CF-44E3-9099-C40C66FF867C}">
                  <a14:compatExt spid="_x0000_s2049"/>
                </a:ext>
                <a:ext uri="{FF2B5EF4-FFF2-40B4-BE49-F238E27FC236}">
                  <a16:creationId xmlns:a16="http://schemas.microsoft.com/office/drawing/2014/main" id="{00000000-0008-0000-0200-0000010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304800</xdr:colOff>
          <xdr:row>0</xdr:row>
          <xdr:rowOff>0</xdr:rowOff>
        </xdr:to>
        <xdr:sp macro="" textlink="">
          <xdr:nvSpPr>
            <xdr:cNvPr id="4097" name="FPMExcelClientSheetOptionstb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914400</xdr:colOff>
          <xdr:row>0</xdr:row>
          <xdr:rowOff>0</xdr:rowOff>
        </xdr:to>
        <xdr:sp macro="" textlink="">
          <xdr:nvSpPr>
            <xdr:cNvPr id="5121" name="FPMExcelClientSheetOptionstb1" hidden="1">
              <a:extLst>
                <a:ext uri="{63B3BB69-23CF-44E3-9099-C40C66FF867C}">
                  <a14:compatExt spid="_x0000_s5121"/>
                </a:ext>
                <a:ext uri="{FF2B5EF4-FFF2-40B4-BE49-F238E27FC236}">
                  <a16:creationId xmlns:a16="http://schemas.microsoft.com/office/drawing/2014/main" id="{00000000-0008-0000-0400-000001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38100</xdr:colOff>
          <xdr:row>0</xdr:row>
          <xdr:rowOff>0</xdr:rowOff>
        </xdr:to>
        <xdr:sp macro="" textlink="">
          <xdr:nvSpPr>
            <xdr:cNvPr id="15361" name="FPMExcelClientSheetOptionstb1" hidden="1">
              <a:extLst>
                <a:ext uri="{63B3BB69-23CF-44E3-9099-C40C66FF867C}">
                  <a14:compatExt spid="_x0000_s15361"/>
                </a:ext>
                <a:ext uri="{FF2B5EF4-FFF2-40B4-BE49-F238E27FC236}">
                  <a16:creationId xmlns:a16="http://schemas.microsoft.com/office/drawing/2014/main" id="{00000000-0008-0000-0500-0000013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304800</xdr:colOff>
          <xdr:row>0</xdr:row>
          <xdr:rowOff>0</xdr:rowOff>
        </xdr:to>
        <xdr:sp macro="" textlink="">
          <xdr:nvSpPr>
            <xdr:cNvPr id="12289" name="FPMExcelClientSheetOptionstb1" hidden="1">
              <a:extLst>
                <a:ext uri="{63B3BB69-23CF-44E3-9099-C40C66FF867C}">
                  <a14:compatExt spid="_x0000_s12289"/>
                </a:ext>
                <a:ext uri="{FF2B5EF4-FFF2-40B4-BE49-F238E27FC236}">
                  <a16:creationId xmlns:a16="http://schemas.microsoft.com/office/drawing/2014/main" id="{00000000-0008-0000-0800-0000013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914400</xdr:colOff>
          <xdr:row>0</xdr:row>
          <xdr:rowOff>0</xdr:rowOff>
        </xdr:to>
        <xdr:sp macro="" textlink="">
          <xdr:nvSpPr>
            <xdr:cNvPr id="13313" name="FPMExcelClientSheetOptionstb1" hidden="1">
              <a:extLst>
                <a:ext uri="{63B3BB69-23CF-44E3-9099-C40C66FF867C}">
                  <a14:compatExt spid="_x0000_s13313"/>
                </a:ext>
                <a:ext uri="{FF2B5EF4-FFF2-40B4-BE49-F238E27FC236}">
                  <a16:creationId xmlns:a16="http://schemas.microsoft.com/office/drawing/2014/main" id="{00000000-0008-0000-0900-0000013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914400</xdr:colOff>
          <xdr:row>0</xdr:row>
          <xdr:rowOff>0</xdr:rowOff>
        </xdr:to>
        <xdr:sp macro="" textlink="">
          <xdr:nvSpPr>
            <xdr:cNvPr id="14337" name="FPMExcelClientSheetOptionstb1" hidden="1">
              <a:extLst>
                <a:ext uri="{63B3BB69-23CF-44E3-9099-C40C66FF867C}">
                  <a14:compatExt spid="_x0000_s14337"/>
                </a:ext>
                <a:ext uri="{FF2B5EF4-FFF2-40B4-BE49-F238E27FC236}">
                  <a16:creationId xmlns:a16="http://schemas.microsoft.com/office/drawing/2014/main" id="{00000000-0008-0000-0A00-0000013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ublic%20Files/Portfolio%20Management/NTrust/Delivered/Senior%20Care/Updated%20Templates/December%202017/2017.12%20-%20Senior%20Care%20Centers%20with%20Onion%20Cree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ppsr02\nvision\Layout\CTRS_PAYR_OS_GHC_NSG.xn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DRE_DATACACHE"/>
      <sheetName val="ReportingTemplate"/>
      <sheetName val="Definitions"/>
      <sheetName val="SUMMARY-F"/>
      <sheetName val="2016 Non-Operating adjustment"/>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nstance_Hook"/>
      <sheetName val="History"/>
      <sheetName val="Options"/>
      <sheetName val="Operating Statement"/>
    </sheetNames>
    <sheetDataSet>
      <sheetData sheetId="0" refreshError="1"/>
      <sheetData sheetId="1" refreshError="1"/>
      <sheetData sheetId="2" refreshError="1"/>
      <sheetData sheetId="3" refreshError="1">
        <row r="101">
          <cell r="A101" t="str">
            <v>%,FCHARTFIELD1,TPG_OP_STATE,X,NINS,FACCOUNT,VDAYS,FCURRENCY_CD,V,VUSD</v>
          </cell>
          <cell r="D101" t="str">
            <v>Insurance</v>
          </cell>
          <cell r="M101">
            <v>0</v>
          </cell>
          <cell r="T101">
            <v>0</v>
          </cell>
        </row>
        <row r="103">
          <cell r="A103" t="str">
            <v>%,FCHARTFIELD1,TPG_OP_STATE,X,NMCAID_SNF,FACCOUNT,VDAYS,FCURRENCY_CD,V,VUSD</v>
          </cell>
          <cell r="D103" t="str">
            <v>Medicaid</v>
          </cell>
          <cell r="M103">
            <v>0</v>
          </cell>
          <cell r="T103">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control" Target="../activeX/activeX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customProperty" Target="../customProperty18.bin"/><Relationship Id="rId1" Type="http://schemas.openxmlformats.org/officeDocument/2006/relationships/printerSettings" Target="../printerSettings/printerSettings6.bin"/><Relationship Id="rId6" Type="http://schemas.openxmlformats.org/officeDocument/2006/relationships/image" Target="../media/image11.emf"/><Relationship Id="rId5" Type="http://schemas.openxmlformats.org/officeDocument/2006/relationships/control" Target="../activeX/activeX11.xml"/><Relationship Id="rId4"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customProperty" Target="../customProperty19.bin"/><Relationship Id="rId1" Type="http://schemas.openxmlformats.org/officeDocument/2006/relationships/printerSettings" Target="../printerSettings/printerSettings7.bin"/><Relationship Id="rId6" Type="http://schemas.openxmlformats.org/officeDocument/2006/relationships/image" Target="../media/image12.emf"/><Relationship Id="rId5" Type="http://schemas.openxmlformats.org/officeDocument/2006/relationships/control" Target="../activeX/activeX12.xml"/><Relationship Id="rId4"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customProperty" Target="../customProperty4.bin"/><Relationship Id="rId7" Type="http://schemas.openxmlformats.org/officeDocument/2006/relationships/image" Target="../media/image2.emf"/><Relationship Id="rId12" Type="http://schemas.openxmlformats.org/officeDocument/2006/relationships/control" Target="../activeX/activeX5.xml"/><Relationship Id="rId2" Type="http://schemas.openxmlformats.org/officeDocument/2006/relationships/customProperty" Target="../customProperty3.bin"/><Relationship Id="rId1" Type="http://schemas.openxmlformats.org/officeDocument/2006/relationships/customProperty" Target="../customProperty2.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vmlDrawing" Target="../drawings/vmlDrawing2.vml"/><Relationship Id="rId10" Type="http://schemas.openxmlformats.org/officeDocument/2006/relationships/control" Target="../activeX/activeX4.xml"/><Relationship Id="rId4" Type="http://schemas.openxmlformats.org/officeDocument/2006/relationships/drawing" Target="../drawings/drawing2.xml"/><Relationship Id="rId9" Type="http://schemas.openxmlformats.org/officeDocument/2006/relationships/image" Target="../media/image3.emf"/></Relationships>
</file>

<file path=xl/worksheets/_rels/sheet3.xml.rels><?xml version="1.0" encoding="UTF-8" standalone="yes"?>
<Relationships xmlns="http://schemas.openxmlformats.org/package/2006/relationships"><Relationship Id="rId8" Type="http://schemas.openxmlformats.org/officeDocument/2006/relationships/image" Target="../media/image6.emf"/><Relationship Id="rId3" Type="http://schemas.openxmlformats.org/officeDocument/2006/relationships/customProperty" Target="../customProperty6.bin"/><Relationship Id="rId7" Type="http://schemas.openxmlformats.org/officeDocument/2006/relationships/control" Target="../activeX/activeX6.xml"/><Relationship Id="rId2" Type="http://schemas.openxmlformats.org/officeDocument/2006/relationships/customProperty" Target="../customProperty5.bin"/><Relationship Id="rId1" Type="http://schemas.openxmlformats.org/officeDocument/2006/relationships/printerSettings" Target="../printerSettings/printerSettings2.bin"/><Relationship Id="rId6" Type="http://schemas.openxmlformats.org/officeDocument/2006/relationships/vmlDrawing" Target="../drawings/vmlDrawing3.vml"/><Relationship Id="rId5" Type="http://schemas.openxmlformats.org/officeDocument/2006/relationships/drawing" Target="../drawings/drawing3.xml"/><Relationship Id="rId4" Type="http://schemas.openxmlformats.org/officeDocument/2006/relationships/customProperty" Target="../customProperty7.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8.bin"/><Relationship Id="rId1" Type="http://schemas.openxmlformats.org/officeDocument/2006/relationships/printerSettings" Target="../printerSettings/printerSettings3.bin"/><Relationship Id="rId6" Type="http://schemas.openxmlformats.org/officeDocument/2006/relationships/image" Target="../media/image7.emf"/><Relationship Id="rId5" Type="http://schemas.openxmlformats.org/officeDocument/2006/relationships/control" Target="../activeX/activeX7.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customProperty" Target="../customProperty9.bin"/><Relationship Id="rId5" Type="http://schemas.openxmlformats.org/officeDocument/2006/relationships/image" Target="../media/image8.emf"/><Relationship Id="rId4" Type="http://schemas.openxmlformats.org/officeDocument/2006/relationships/control" Target="../activeX/activeX8.xml"/></Relationships>
</file>

<file path=xl/worksheets/_rels/sheet6.xml.rels><?xml version="1.0" encoding="UTF-8" standalone="yes"?>
<Relationships xmlns="http://schemas.openxmlformats.org/package/2006/relationships"><Relationship Id="rId3" Type="http://schemas.openxmlformats.org/officeDocument/2006/relationships/customProperty" Target="../customProperty12.bin"/><Relationship Id="rId7" Type="http://schemas.openxmlformats.org/officeDocument/2006/relationships/image" Target="../media/image9.emf"/><Relationship Id="rId2" Type="http://schemas.openxmlformats.org/officeDocument/2006/relationships/customProperty" Target="../customProperty11.bin"/><Relationship Id="rId1" Type="http://schemas.openxmlformats.org/officeDocument/2006/relationships/customProperty" Target="../customProperty10.bin"/><Relationship Id="rId6" Type="http://schemas.openxmlformats.org/officeDocument/2006/relationships/control" Target="../activeX/activeX9.xml"/><Relationship Id="rId5" Type="http://schemas.openxmlformats.org/officeDocument/2006/relationships/vmlDrawing" Target="../drawings/vmlDrawing6.v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13.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ustomProperty" Target="../customProperty17.bin"/><Relationship Id="rId7" Type="http://schemas.openxmlformats.org/officeDocument/2006/relationships/image" Target="../media/image10.emf"/><Relationship Id="rId2" Type="http://schemas.openxmlformats.org/officeDocument/2006/relationships/customProperty" Target="../customProperty16.bin"/><Relationship Id="rId1" Type="http://schemas.openxmlformats.org/officeDocument/2006/relationships/customProperty" Target="../customProperty15.bin"/><Relationship Id="rId6" Type="http://schemas.openxmlformats.org/officeDocument/2006/relationships/control" Target="../activeX/activeX10.xml"/><Relationship Id="rId5" Type="http://schemas.openxmlformats.org/officeDocument/2006/relationships/vmlDrawing" Target="../drawings/vmlDrawing7.vm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L19"/>
  <sheetViews>
    <sheetView tabSelected="1" zoomScale="90" zoomScaleNormal="90" workbookViewId="0"/>
  </sheetViews>
  <sheetFormatPr defaultColWidth="9.140625" defaultRowHeight="15" x14ac:dyDescent="0.25"/>
  <cols>
    <col min="1" max="1" width="3.5703125" style="35" customWidth="1"/>
    <col min="2" max="2" width="19.42578125" style="35" bestFit="1" customWidth="1"/>
    <col min="3" max="3" width="19" style="35" customWidth="1"/>
    <col min="4" max="4" width="4.7109375" style="35" customWidth="1"/>
    <col min="5" max="5" width="19.140625" style="35" bestFit="1" customWidth="1"/>
    <col min="6" max="6" width="16" style="35" customWidth="1"/>
    <col min="7" max="7" width="6.42578125" style="35" customWidth="1"/>
    <col min="8" max="8" width="13.85546875" style="35" bestFit="1" customWidth="1"/>
    <col min="9" max="9" width="2.5703125" style="35" customWidth="1"/>
    <col min="10" max="10" width="71" style="35" customWidth="1"/>
    <col min="11" max="11" width="9.140625" style="35"/>
    <col min="12" max="12" width="13.28515625" style="35" bestFit="1" customWidth="1"/>
    <col min="13" max="16384" width="9.140625" style="35"/>
  </cols>
  <sheetData>
    <row r="1" spans="1:12" s="38" customFormat="1" ht="12.75" x14ac:dyDescent="0.2">
      <c r="A1" s="36" t="s">
        <v>555</v>
      </c>
      <c r="B1" s="37"/>
    </row>
    <row r="2" spans="1:12" s="38" customFormat="1" ht="12.75" x14ac:dyDescent="0.2">
      <c r="A2" s="39" t="s">
        <v>192</v>
      </c>
      <c r="B2" s="37"/>
    </row>
    <row r="3" spans="1:12" s="38" customFormat="1" ht="12.75" x14ac:dyDescent="0.2">
      <c r="A3" s="39" t="s">
        <v>1639</v>
      </c>
      <c r="B3" s="37"/>
    </row>
    <row r="4" spans="1:12" ht="15.75" thickBot="1" x14ac:dyDescent="0.3"/>
    <row r="5" spans="1:12" ht="15.75" thickBot="1" x14ac:dyDescent="0.3">
      <c r="B5" s="40" t="s">
        <v>190</v>
      </c>
      <c r="C5" s="41"/>
      <c r="E5" s="40" t="s">
        <v>195</v>
      </c>
      <c r="F5" s="41"/>
      <c r="H5" s="50" t="s">
        <v>196</v>
      </c>
      <c r="I5" s="51"/>
      <c r="J5" s="52" t="s">
        <v>197</v>
      </c>
    </row>
    <row r="6" spans="1:12" x14ac:dyDescent="0.25">
      <c r="B6" s="42"/>
      <c r="C6" s="43"/>
      <c r="E6" s="42"/>
      <c r="F6" s="43"/>
      <c r="H6" s="47"/>
      <c r="I6" s="45"/>
      <c r="J6" s="48"/>
    </row>
    <row r="7" spans="1:12" x14ac:dyDescent="0.25">
      <c r="B7" s="220" t="s">
        <v>28</v>
      </c>
      <c r="C7" s="221">
        <f>+Summary!T551</f>
        <v>4598</v>
      </c>
      <c r="D7" s="191"/>
      <c r="E7" s="220" t="s">
        <v>28</v>
      </c>
      <c r="F7" s="221">
        <f ca="1">+Summary!S551</f>
        <v>4598</v>
      </c>
      <c r="G7" s="191"/>
      <c r="H7" s="192">
        <f ca="1">C7-F7</f>
        <v>0</v>
      </c>
      <c r="I7" s="45"/>
      <c r="J7" s="219"/>
    </row>
    <row r="8" spans="1:12" x14ac:dyDescent="0.25">
      <c r="B8" s="44" t="s">
        <v>193</v>
      </c>
      <c r="C8" s="59">
        <f>+Summary!T550</f>
        <v>1240046</v>
      </c>
      <c r="E8" s="44" t="s">
        <v>193</v>
      </c>
      <c r="F8" s="59">
        <f ca="1">Summary!S550</f>
        <v>1240046</v>
      </c>
      <c r="H8" s="53">
        <f ca="1">C8-F8</f>
        <v>0</v>
      </c>
      <c r="I8" s="60"/>
      <c r="J8" s="219"/>
    </row>
    <row r="9" spans="1:12" x14ac:dyDescent="0.25">
      <c r="B9" s="44"/>
      <c r="C9" s="43"/>
      <c r="E9" s="44"/>
      <c r="F9" s="43"/>
      <c r="H9" s="47"/>
      <c r="I9" s="45"/>
      <c r="J9" s="48"/>
      <c r="L9" s="227"/>
    </row>
    <row r="10" spans="1:12" x14ac:dyDescent="0.25">
      <c r="B10" s="189" t="s">
        <v>191</v>
      </c>
      <c r="C10" s="190">
        <f>+Summary!T552</f>
        <v>396777462.15999997</v>
      </c>
      <c r="D10" s="191"/>
      <c r="E10" s="189" t="s">
        <v>191</v>
      </c>
      <c r="F10" s="190">
        <f ca="1">Summary!S552</f>
        <v>396777492</v>
      </c>
      <c r="G10" s="191"/>
      <c r="H10" s="192">
        <f ca="1">C10-F10</f>
        <v>-29.840000033378601</v>
      </c>
      <c r="I10" s="60"/>
      <c r="J10" s="219" t="s">
        <v>1602</v>
      </c>
      <c r="L10" s="227"/>
    </row>
    <row r="11" spans="1:12" x14ac:dyDescent="0.25">
      <c r="B11" s="189" t="s">
        <v>100</v>
      </c>
      <c r="C11" s="193">
        <f>+Summary!T553</f>
        <v>332477546.06999999</v>
      </c>
      <c r="D11" s="191"/>
      <c r="E11" s="189" t="s">
        <v>100</v>
      </c>
      <c r="F11" s="193">
        <f ca="1">Summary!S553</f>
        <v>332477532</v>
      </c>
      <c r="G11" s="191"/>
      <c r="H11" s="192">
        <f ca="1">C11-F11</f>
        <v>14.069999992847443</v>
      </c>
      <c r="I11" s="60"/>
      <c r="J11" s="219" t="s">
        <v>1602</v>
      </c>
      <c r="L11" s="227"/>
    </row>
    <row r="12" spans="1:12" x14ac:dyDescent="0.25">
      <c r="B12" s="44" t="s">
        <v>12</v>
      </c>
      <c r="C12" s="56">
        <f>C10-C11</f>
        <v>64299916.089999974</v>
      </c>
      <c r="E12" s="44" t="s">
        <v>12</v>
      </c>
      <c r="F12" s="56">
        <f ca="1">F10-F11</f>
        <v>64299960</v>
      </c>
      <c r="H12" s="53">
        <f ca="1">C12-F12</f>
        <v>-43.910000026226044</v>
      </c>
      <c r="I12" s="60"/>
      <c r="J12" s="219"/>
    </row>
    <row r="13" spans="1:12" s="191" customFormat="1" x14ac:dyDescent="0.25">
      <c r="B13" s="189" t="s">
        <v>199</v>
      </c>
      <c r="C13" s="193">
        <f>+Summary!T556</f>
        <v>20009116.48</v>
      </c>
      <c r="E13" s="189" t="s">
        <v>199</v>
      </c>
      <c r="F13" s="193">
        <f ca="1">Summary!S556</f>
        <v>20009123</v>
      </c>
      <c r="H13" s="192">
        <f ca="1">C13-F13</f>
        <v>-6.5199999995529652</v>
      </c>
      <c r="I13" s="226"/>
      <c r="J13" s="219" t="s">
        <v>1602</v>
      </c>
    </row>
    <row r="14" spans="1:12" x14ac:dyDescent="0.25">
      <c r="B14" s="44" t="s">
        <v>11</v>
      </c>
      <c r="C14" s="56">
        <f>C12-C13</f>
        <v>44290799.60999997</v>
      </c>
      <c r="E14" s="44" t="s">
        <v>11</v>
      </c>
      <c r="F14" s="56">
        <f ca="1">F12-F13</f>
        <v>44290837</v>
      </c>
      <c r="H14" s="53">
        <f ca="1">C14-F14</f>
        <v>-37.390000030398369</v>
      </c>
      <c r="I14" s="60"/>
      <c r="J14" s="219"/>
    </row>
    <row r="15" spans="1:12" x14ac:dyDescent="0.25">
      <c r="B15" s="44"/>
      <c r="C15" s="46"/>
      <c r="E15" s="44"/>
      <c r="F15" s="46"/>
      <c r="H15" s="47"/>
      <c r="I15" s="45"/>
      <c r="J15" s="219"/>
    </row>
    <row r="16" spans="1:12" x14ac:dyDescent="0.25">
      <c r="B16" s="189" t="s">
        <v>198</v>
      </c>
      <c r="C16" s="194">
        <f>+Summary!T558</f>
        <v>51947721.179999992</v>
      </c>
      <c r="D16" s="191"/>
      <c r="E16" s="189" t="s">
        <v>198</v>
      </c>
      <c r="F16" s="194">
        <f ca="1">Summary!S558</f>
        <v>51947709</v>
      </c>
      <c r="G16" s="191"/>
      <c r="H16" s="192">
        <f ca="1">C16-F16</f>
        <v>12.179999992251396</v>
      </c>
      <c r="I16" s="60"/>
      <c r="J16" s="219" t="s">
        <v>1602</v>
      </c>
    </row>
    <row r="17" spans="2:10" x14ac:dyDescent="0.25">
      <c r="B17" s="47"/>
      <c r="C17" s="48"/>
      <c r="E17" s="47"/>
      <c r="F17" s="48"/>
      <c r="H17" s="47"/>
      <c r="I17" s="45"/>
      <c r="J17" s="219"/>
    </row>
    <row r="18" spans="2:10" x14ac:dyDescent="0.25">
      <c r="B18" s="47" t="s">
        <v>194</v>
      </c>
      <c r="C18" s="57">
        <f>C12/C16</f>
        <v>1.2377812660385883</v>
      </c>
      <c r="E18" s="47" t="s">
        <v>194</v>
      </c>
      <c r="F18" s="57">
        <f ca="1">F12/F16</f>
        <v>1.2377824015299692</v>
      </c>
      <c r="H18" s="53">
        <f ca="1">C18-F18</f>
        <v>-1.135491380921394E-6</v>
      </c>
      <c r="I18" s="60"/>
      <c r="J18" s="48"/>
    </row>
    <row r="19" spans="2:10" ht="15.75" thickBot="1" x14ac:dyDescent="0.3">
      <c r="B19" s="49" t="s">
        <v>0</v>
      </c>
      <c r="C19" s="58">
        <f>C14/C16</f>
        <v>0.85260332126083793</v>
      </c>
      <c r="E19" s="49" t="s">
        <v>0</v>
      </c>
      <c r="F19" s="58">
        <f ca="1">F14/F16</f>
        <v>0.85260424093004761</v>
      </c>
      <c r="H19" s="55">
        <f ca="1">C19-F19</f>
        <v>-9.1966920967578858E-7</v>
      </c>
      <c r="I19" s="61"/>
      <c r="J19" s="54"/>
    </row>
  </sheetData>
  <pageMargins left="0.7" right="0.7" top="0.75" bottom="0.75" header="0.3" footer="0.3"/>
  <pageSetup orientation="portrait" horizontalDpi="4294967295" verticalDpi="4294967295" r:id="rId1"/>
  <customProperties>
    <customPr name="EpmWorksheetKeyString_GUID" r:id="rId2"/>
  </customProperties>
  <drawing r:id="rId3"/>
  <legacyDrawing r:id="rId4"/>
  <controls>
    <mc:AlternateContent xmlns:mc="http://schemas.openxmlformats.org/markup-compatibility/2006">
      <mc:Choice Requires="x14">
        <control shapeId="3073" r:id="rId5" name="FPMExcelClientSheetOptionstb1">
          <controlPr defaultSize="0" autoLine="0" autoPict="0" r:id="rId6">
            <anchor moveWithCells="1" sizeWithCells="1">
              <from>
                <xdr:col>0</xdr:col>
                <xdr:colOff>0</xdr:colOff>
                <xdr:row>0</xdr:row>
                <xdr:rowOff>0</xdr:rowOff>
              </from>
              <to>
                <xdr:col>1</xdr:col>
                <xdr:colOff>676275</xdr:colOff>
                <xdr:row>0</xdr:row>
                <xdr:rowOff>0</xdr:rowOff>
              </to>
            </anchor>
          </controlPr>
        </control>
      </mc:Choice>
      <mc:Fallback>
        <control shapeId="3073" r:id="rId5" name="FPMExcelClientSheetOptionstb1"/>
      </mc:Fallback>
    </mc:AlternateContent>
  </control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3">
    <pageSetUpPr fitToPage="1"/>
  </sheetPr>
  <dimension ref="A1:P449"/>
  <sheetViews>
    <sheetView workbookViewId="0"/>
  </sheetViews>
  <sheetFormatPr defaultRowHeight="15" x14ac:dyDescent="0.25"/>
  <cols>
    <col min="1" max="1" width="30.7109375" customWidth="1"/>
    <col min="2" max="14" width="11.85546875" customWidth="1"/>
    <col min="16" max="16" width="8.7109375" bestFit="1" customWidth="1"/>
  </cols>
  <sheetData>
    <row r="1" spans="1:14" ht="10.5" customHeight="1" x14ac:dyDescent="0.25">
      <c r="A1" s="157" t="s">
        <v>429</v>
      </c>
      <c r="B1" s="266" t="s">
        <v>14</v>
      </c>
      <c r="C1" s="266"/>
      <c r="D1" s="266"/>
      <c r="E1" s="266"/>
      <c r="F1" s="266"/>
      <c r="G1" s="266"/>
      <c r="H1" s="266"/>
      <c r="I1" s="266"/>
      <c r="J1" s="266"/>
      <c r="K1" s="266"/>
      <c r="L1" s="266"/>
      <c r="M1" s="266"/>
    </row>
    <row r="2" spans="1:14" ht="10.5" customHeight="1" x14ac:dyDescent="0.25">
      <c r="A2" s="157"/>
      <c r="B2" s="266" t="s">
        <v>15</v>
      </c>
      <c r="C2" s="266"/>
      <c r="D2" s="266"/>
      <c r="E2" s="266"/>
      <c r="F2" s="266"/>
      <c r="G2" s="266"/>
      <c r="H2" s="266"/>
      <c r="I2" s="266"/>
      <c r="J2" s="266"/>
      <c r="K2" s="266"/>
      <c r="L2" s="266"/>
      <c r="M2" s="266"/>
    </row>
    <row r="3" spans="1:14" ht="10.5" customHeight="1" x14ac:dyDescent="0.25">
      <c r="A3" s="157" t="s">
        <v>16</v>
      </c>
      <c r="B3" s="266" t="s">
        <v>430</v>
      </c>
      <c r="C3" s="266"/>
      <c r="D3" s="266"/>
      <c r="E3" s="266"/>
      <c r="F3" s="266"/>
      <c r="G3" s="266"/>
      <c r="H3" s="266"/>
      <c r="I3" s="266"/>
      <c r="J3" s="266"/>
      <c r="K3" s="266"/>
      <c r="L3" s="266"/>
      <c r="M3" s="266"/>
    </row>
    <row r="4" spans="1:14" x14ac:dyDescent="0.25">
      <c r="B4" s="267" t="s">
        <v>17</v>
      </c>
      <c r="C4" s="267"/>
      <c r="D4" s="267"/>
      <c r="E4" s="267"/>
      <c r="F4" s="267"/>
      <c r="G4" s="267"/>
      <c r="H4" s="267"/>
      <c r="I4" s="267"/>
      <c r="J4" s="267"/>
      <c r="K4" s="267"/>
      <c r="L4" s="267"/>
      <c r="M4" s="267"/>
      <c r="N4" s="267"/>
    </row>
    <row r="5" spans="1:14" x14ac:dyDescent="0.25">
      <c r="B5" s="158" t="s">
        <v>20</v>
      </c>
      <c r="C5" s="158" t="s">
        <v>21</v>
      </c>
      <c r="D5" s="158" t="s">
        <v>22</v>
      </c>
      <c r="E5" s="158" t="s">
        <v>23</v>
      </c>
      <c r="F5" s="158" t="s">
        <v>200</v>
      </c>
      <c r="G5" s="158" t="s">
        <v>201</v>
      </c>
      <c r="H5" s="158" t="s">
        <v>202</v>
      </c>
      <c r="I5" s="158" t="s">
        <v>347</v>
      </c>
      <c r="J5" s="158" t="s">
        <v>348</v>
      </c>
      <c r="K5" s="158" t="s">
        <v>349</v>
      </c>
      <c r="L5" s="158" t="s">
        <v>353</v>
      </c>
      <c r="M5" s="158" t="s">
        <v>431</v>
      </c>
      <c r="N5" s="158" t="s">
        <v>24</v>
      </c>
    </row>
    <row r="6" spans="1:14" x14ac:dyDescent="0.25">
      <c r="N6" s="158" t="s">
        <v>25</v>
      </c>
    </row>
    <row r="7" spans="1:14" ht="30" x14ac:dyDescent="0.25">
      <c r="A7" s="157" t="s">
        <v>432</v>
      </c>
      <c r="B7" s="159">
        <v>-59.53</v>
      </c>
      <c r="C7" s="159">
        <v>0</v>
      </c>
      <c r="D7" s="159">
        <v>0</v>
      </c>
      <c r="E7" s="159">
        <v>0</v>
      </c>
      <c r="F7" s="159">
        <v>0</v>
      </c>
      <c r="G7" s="159">
        <v>0</v>
      </c>
      <c r="H7" s="159">
        <v>0</v>
      </c>
      <c r="I7" s="159">
        <v>0</v>
      </c>
      <c r="J7" s="159">
        <v>0</v>
      </c>
      <c r="K7" s="159">
        <v>0</v>
      </c>
      <c r="L7" s="159">
        <v>0</v>
      </c>
      <c r="M7" s="159">
        <v>0.06</v>
      </c>
      <c r="N7" s="159">
        <v>-59.47</v>
      </c>
    </row>
    <row r="8" spans="1:14" x14ac:dyDescent="0.25">
      <c r="A8" s="157" t="s">
        <v>433</v>
      </c>
      <c r="B8" s="160">
        <v>1</v>
      </c>
      <c r="C8" s="160">
        <v>1</v>
      </c>
      <c r="D8" s="160">
        <v>1</v>
      </c>
      <c r="E8" s="160">
        <v>1</v>
      </c>
      <c r="F8" s="160">
        <v>1</v>
      </c>
      <c r="G8" s="160">
        <v>1</v>
      </c>
      <c r="H8" s="160">
        <v>1</v>
      </c>
      <c r="I8" s="160">
        <v>1</v>
      </c>
      <c r="J8" s="160">
        <v>1</v>
      </c>
      <c r="K8" s="160">
        <v>1</v>
      </c>
      <c r="L8" s="160">
        <v>1</v>
      </c>
      <c r="M8" s="160">
        <v>1</v>
      </c>
      <c r="N8" s="160">
        <v>1</v>
      </c>
    </row>
    <row r="9" spans="1:14" x14ac:dyDescent="0.25">
      <c r="A9" s="157"/>
      <c r="B9" s="161"/>
      <c r="C9" s="161"/>
      <c r="D9" s="161"/>
      <c r="E9" s="161"/>
      <c r="F9" s="161"/>
      <c r="G9" s="161"/>
      <c r="H9" s="161"/>
      <c r="I9" s="161"/>
      <c r="J9" s="161"/>
      <c r="K9" s="161"/>
      <c r="L9" s="161"/>
      <c r="M9" s="161"/>
      <c r="N9" s="161"/>
    </row>
    <row r="10" spans="1:14" x14ac:dyDescent="0.25">
      <c r="A10" s="157" t="s">
        <v>26</v>
      </c>
      <c r="B10" s="162">
        <v>0.78914153990640001</v>
      </c>
      <c r="C10" s="162">
        <v>0.78902190939960004</v>
      </c>
      <c r="D10" s="162">
        <v>0.79418181247450004</v>
      </c>
      <c r="E10" s="162">
        <v>0.78085638746539998</v>
      </c>
      <c r="F10" s="162">
        <v>0.78140335457410004</v>
      </c>
      <c r="G10" s="162">
        <v>0.76916097844499998</v>
      </c>
      <c r="H10" s="162">
        <v>0.76318757782169999</v>
      </c>
      <c r="I10" s="162">
        <v>0.75490675569349996</v>
      </c>
      <c r="J10" s="162">
        <v>0.75640235042280002</v>
      </c>
      <c r="K10" s="162">
        <v>0.75050904563099996</v>
      </c>
      <c r="L10" s="162">
        <v>0.75236211821580001</v>
      </c>
      <c r="M10" s="162">
        <v>0.74750216500580002</v>
      </c>
      <c r="N10" s="162">
        <v>0.76869975553850001</v>
      </c>
    </row>
    <row r="11" spans="1:14" x14ac:dyDescent="0.25">
      <c r="A11" s="157"/>
      <c r="B11" s="161"/>
      <c r="C11" s="161"/>
      <c r="D11" s="161"/>
      <c r="E11" s="161"/>
      <c r="F11" s="161"/>
      <c r="G11" s="161"/>
      <c r="H11" s="161"/>
      <c r="I11" s="161"/>
      <c r="J11" s="161"/>
      <c r="K11" s="161"/>
      <c r="L11" s="161"/>
      <c r="M11" s="161"/>
      <c r="N11" s="161"/>
    </row>
    <row r="12" spans="1:14" hidden="1" x14ac:dyDescent="0.25">
      <c r="A12" s="157" t="s">
        <v>434</v>
      </c>
      <c r="B12" s="160">
        <v>4850</v>
      </c>
      <c r="C12" s="160">
        <v>4850</v>
      </c>
      <c r="D12" s="160">
        <v>4850</v>
      </c>
      <c r="E12" s="160">
        <v>4850</v>
      </c>
      <c r="F12" s="160">
        <v>4850</v>
      </c>
      <c r="G12" s="160">
        <v>4850</v>
      </c>
      <c r="H12" s="160">
        <v>4850</v>
      </c>
      <c r="I12" s="160">
        <v>4850</v>
      </c>
      <c r="J12" s="160">
        <v>4850</v>
      </c>
      <c r="K12" s="160">
        <v>4850</v>
      </c>
      <c r="L12" s="160">
        <v>4850</v>
      </c>
      <c r="M12" s="160">
        <v>4850</v>
      </c>
      <c r="N12" s="160">
        <v>58200</v>
      </c>
    </row>
    <row r="13" spans="1:14" x14ac:dyDescent="0.25">
      <c r="A13" s="157" t="s">
        <v>27</v>
      </c>
      <c r="B13" s="160">
        <v>4850</v>
      </c>
      <c r="C13" s="160">
        <v>4850</v>
      </c>
      <c r="D13" s="160">
        <v>4850</v>
      </c>
      <c r="E13" s="160">
        <v>4850</v>
      </c>
      <c r="F13" s="160">
        <v>4850</v>
      </c>
      <c r="G13" s="160">
        <v>4850</v>
      </c>
      <c r="H13" s="160">
        <v>4850</v>
      </c>
      <c r="I13" s="160">
        <v>4850</v>
      </c>
      <c r="J13" s="160">
        <v>4850</v>
      </c>
      <c r="K13" s="160">
        <v>4850</v>
      </c>
      <c r="L13" s="160">
        <v>4850</v>
      </c>
      <c r="M13" s="160">
        <v>4850</v>
      </c>
      <c r="N13" s="160">
        <v>58200</v>
      </c>
    </row>
    <row r="14" spans="1:14" hidden="1" x14ac:dyDescent="0.25">
      <c r="A14" s="157" t="s">
        <v>435</v>
      </c>
      <c r="B14" s="160">
        <v>4534</v>
      </c>
      <c r="C14" s="160">
        <v>4534</v>
      </c>
      <c r="D14" s="160">
        <v>4534</v>
      </c>
      <c r="E14" s="160">
        <v>4534</v>
      </c>
      <c r="F14" s="160">
        <v>4534</v>
      </c>
      <c r="G14" s="160">
        <v>4534</v>
      </c>
      <c r="H14" s="160">
        <v>4534</v>
      </c>
      <c r="I14" s="160">
        <v>4534</v>
      </c>
      <c r="J14" s="160">
        <v>4534</v>
      </c>
      <c r="K14" s="160">
        <v>4534</v>
      </c>
      <c r="L14" s="160">
        <v>4534</v>
      </c>
      <c r="M14" s="160">
        <v>4534</v>
      </c>
      <c r="N14" s="160">
        <v>54408</v>
      </c>
    </row>
    <row r="15" spans="1:14" x14ac:dyDescent="0.25">
      <c r="A15" s="157" t="s">
        <v>28</v>
      </c>
      <c r="B15" s="160">
        <v>4534</v>
      </c>
      <c r="C15" s="160">
        <v>4534</v>
      </c>
      <c r="D15" s="160">
        <v>4534</v>
      </c>
      <c r="E15" s="160">
        <v>4534</v>
      </c>
      <c r="F15" s="160">
        <v>4534</v>
      </c>
      <c r="G15" s="160">
        <v>4534</v>
      </c>
      <c r="H15" s="160">
        <v>4534</v>
      </c>
      <c r="I15" s="160">
        <v>4534</v>
      </c>
      <c r="J15" s="160">
        <v>4534</v>
      </c>
      <c r="K15" s="160">
        <v>4534</v>
      </c>
      <c r="L15" s="160">
        <v>4534</v>
      </c>
      <c r="M15" s="160">
        <v>4534</v>
      </c>
      <c r="N15" s="160">
        <v>54408</v>
      </c>
    </row>
    <row r="16" spans="1:14" ht="30" hidden="1" x14ac:dyDescent="0.25">
      <c r="A16" s="157" t="s">
        <v>436</v>
      </c>
      <c r="B16" s="160">
        <v>140554</v>
      </c>
      <c r="C16" s="160">
        <v>141081</v>
      </c>
      <c r="D16" s="160">
        <v>127428</v>
      </c>
      <c r="E16" s="160">
        <v>141081</v>
      </c>
      <c r="F16" s="160">
        <v>136530</v>
      </c>
      <c r="G16" s="160">
        <v>141081</v>
      </c>
      <c r="H16" s="160">
        <v>136530</v>
      </c>
      <c r="I16" s="160">
        <v>141081</v>
      </c>
      <c r="J16" s="160">
        <v>141081</v>
      </c>
      <c r="K16" s="160">
        <v>136530</v>
      </c>
      <c r="L16" s="160">
        <v>141081</v>
      </c>
      <c r="M16" s="160">
        <v>154734</v>
      </c>
      <c r="N16" s="160">
        <v>1678792</v>
      </c>
    </row>
    <row r="17" spans="1:14" hidden="1" x14ac:dyDescent="0.25">
      <c r="A17" s="157" t="s">
        <v>437</v>
      </c>
      <c r="B17" s="160">
        <v>140554</v>
      </c>
      <c r="C17" s="160">
        <v>141081</v>
      </c>
      <c r="D17" s="160">
        <v>127428</v>
      </c>
      <c r="E17" s="160">
        <v>141081</v>
      </c>
      <c r="F17" s="160">
        <v>136530</v>
      </c>
      <c r="G17" s="160">
        <v>141081</v>
      </c>
      <c r="H17" s="160">
        <v>136530</v>
      </c>
      <c r="I17" s="160">
        <v>141081</v>
      </c>
      <c r="J17" s="160">
        <v>141081</v>
      </c>
      <c r="K17" s="160">
        <v>136530</v>
      </c>
      <c r="L17" s="160">
        <v>141081</v>
      </c>
      <c r="M17" s="160">
        <v>154734</v>
      </c>
      <c r="N17" s="160">
        <v>1678792</v>
      </c>
    </row>
    <row r="18" spans="1:14" ht="30" hidden="1" x14ac:dyDescent="0.25">
      <c r="A18" s="157" t="s">
        <v>438</v>
      </c>
      <c r="B18" s="160">
        <v>0</v>
      </c>
      <c r="C18" s="160">
        <v>17</v>
      </c>
      <c r="D18" s="160">
        <v>17</v>
      </c>
      <c r="E18" s="160">
        <v>17</v>
      </c>
      <c r="F18" s="160">
        <v>17</v>
      </c>
      <c r="G18" s="160">
        <v>17</v>
      </c>
      <c r="H18" s="160">
        <v>17</v>
      </c>
      <c r="I18" s="160">
        <v>17</v>
      </c>
      <c r="J18" s="160">
        <v>17</v>
      </c>
      <c r="K18" s="160">
        <v>17</v>
      </c>
      <c r="L18" s="160">
        <v>17</v>
      </c>
      <c r="M18" s="160">
        <v>17</v>
      </c>
      <c r="N18" s="160">
        <v>187</v>
      </c>
    </row>
    <row r="19" spans="1:14" x14ac:dyDescent="0.25">
      <c r="A19" s="157" t="s">
        <v>350</v>
      </c>
      <c r="B19" s="160">
        <v>0</v>
      </c>
      <c r="C19" s="160">
        <v>17</v>
      </c>
      <c r="D19" s="160">
        <v>17</v>
      </c>
      <c r="E19" s="160">
        <v>17</v>
      </c>
      <c r="F19" s="160">
        <v>17</v>
      </c>
      <c r="G19" s="160">
        <v>17</v>
      </c>
      <c r="H19" s="160">
        <v>17</v>
      </c>
      <c r="I19" s="160">
        <v>17</v>
      </c>
      <c r="J19" s="160">
        <v>17</v>
      </c>
      <c r="K19" s="160">
        <v>17</v>
      </c>
      <c r="L19" s="160">
        <v>17</v>
      </c>
      <c r="M19" s="160">
        <v>17</v>
      </c>
      <c r="N19" s="160">
        <v>187</v>
      </c>
    </row>
    <row r="20" spans="1:14" x14ac:dyDescent="0.25">
      <c r="A20" s="157"/>
      <c r="B20" s="161"/>
      <c r="C20" s="161"/>
      <c r="D20" s="161"/>
      <c r="E20" s="161"/>
      <c r="F20" s="161"/>
      <c r="G20" s="161"/>
      <c r="H20" s="161"/>
      <c r="I20" s="161"/>
      <c r="J20" s="161"/>
      <c r="K20" s="161"/>
      <c r="L20" s="161"/>
      <c r="M20" s="161"/>
      <c r="N20" s="161"/>
    </row>
    <row r="21" spans="1:14" x14ac:dyDescent="0.25">
      <c r="A21" s="163" t="s">
        <v>29</v>
      </c>
      <c r="B21" s="164">
        <v>2129.0967741935483</v>
      </c>
      <c r="C21" s="164">
        <v>2068.3548387096776</v>
      </c>
      <c r="D21" s="164">
        <v>2040.3571428571429</v>
      </c>
      <c r="E21" s="164">
        <v>2056.8387096774195</v>
      </c>
      <c r="F21" s="164">
        <v>2031.3333333333333</v>
      </c>
      <c r="G21" s="164">
        <v>2047.3870967741934</v>
      </c>
      <c r="H21" s="164">
        <v>2065.8333333333335</v>
      </c>
      <c r="I21" s="164">
        <v>2078.8064516129034</v>
      </c>
      <c r="J21" s="164">
        <v>2078.8064516129034</v>
      </c>
      <c r="K21" s="164">
        <v>2051.1333333333332</v>
      </c>
      <c r="L21" s="164">
        <v>2084.9677419354839</v>
      </c>
      <c r="M21" s="164">
        <v>2067</v>
      </c>
      <c r="N21" s="164">
        <v>24804.195121951219</v>
      </c>
    </row>
    <row r="22" spans="1:14" x14ac:dyDescent="0.25">
      <c r="A22" s="163" t="s">
        <v>30</v>
      </c>
      <c r="B22" s="165">
        <v>185.90322580645159</v>
      </c>
      <c r="C22" s="165">
        <v>202.32258064516131</v>
      </c>
      <c r="D22" s="165">
        <v>226.03571428571431</v>
      </c>
      <c r="E22" s="165">
        <v>205.2258064516129</v>
      </c>
      <c r="F22" s="165">
        <v>207.83333333333329</v>
      </c>
      <c r="G22" s="165">
        <v>230.7741935483871</v>
      </c>
      <c r="H22" s="165">
        <v>220.9</v>
      </c>
      <c r="I22" s="165">
        <v>198.54838709677421</v>
      </c>
      <c r="J22" s="165">
        <v>182.54838709677421</v>
      </c>
      <c r="K22" s="165">
        <v>210.4</v>
      </c>
      <c r="L22" s="165">
        <v>200.70967741935479</v>
      </c>
      <c r="M22" s="165">
        <v>212.47058823529409</v>
      </c>
      <c r="N22" s="165">
        <v>2481.7560975609754</v>
      </c>
    </row>
    <row r="23" spans="1:14" x14ac:dyDescent="0.25">
      <c r="A23" s="157" t="s">
        <v>31</v>
      </c>
      <c r="B23" s="164">
        <f t="shared" ref="B23:N23" si="0">SUM(B21:B22)</f>
        <v>2315</v>
      </c>
      <c r="C23" s="164">
        <f t="shared" si="0"/>
        <v>2270.677419354839</v>
      </c>
      <c r="D23" s="164">
        <f t="shared" si="0"/>
        <v>2266.3928571428573</v>
      </c>
      <c r="E23" s="164">
        <f t="shared" si="0"/>
        <v>2262.0645161290322</v>
      </c>
      <c r="F23" s="164">
        <f t="shared" si="0"/>
        <v>2239.1666666666665</v>
      </c>
      <c r="G23" s="164">
        <f t="shared" si="0"/>
        <v>2278.1612903225805</v>
      </c>
      <c r="H23" s="164">
        <f t="shared" si="0"/>
        <v>2286.7333333333336</v>
      </c>
      <c r="I23" s="164">
        <f t="shared" si="0"/>
        <v>2277.3548387096776</v>
      </c>
      <c r="J23" s="164">
        <f t="shared" si="0"/>
        <v>2261.3548387096776</v>
      </c>
      <c r="K23" s="164">
        <f t="shared" si="0"/>
        <v>2261.5333333333333</v>
      </c>
      <c r="L23" s="164">
        <f t="shared" si="0"/>
        <v>2285.6774193548385</v>
      </c>
      <c r="M23" s="164">
        <f t="shared" si="0"/>
        <v>2279.4705882352941</v>
      </c>
      <c r="N23" s="164">
        <f t="shared" si="0"/>
        <v>27285.951219512193</v>
      </c>
    </row>
    <row r="24" spans="1:14" x14ac:dyDescent="0.25">
      <c r="A24" s="157" t="s">
        <v>32</v>
      </c>
      <c r="B24" s="164">
        <v>14.2258064516129</v>
      </c>
      <c r="C24" s="164">
        <v>13.4838709677419</v>
      </c>
      <c r="D24" s="164">
        <v>13.4285714285714</v>
      </c>
      <c r="E24" s="164">
        <v>0</v>
      </c>
      <c r="F24" s="164">
        <v>0</v>
      </c>
      <c r="G24" s="164">
        <v>15.419354838709699</v>
      </c>
      <c r="H24" s="164">
        <v>15.1</v>
      </c>
      <c r="I24" s="164">
        <v>14.3870967741935</v>
      </c>
      <c r="J24" s="164">
        <v>14.9677419354839</v>
      </c>
      <c r="K24" s="164">
        <v>16.2</v>
      </c>
      <c r="L24" s="164">
        <v>16.645161290322601</v>
      </c>
      <c r="M24" s="164">
        <v>14.4411764705882</v>
      </c>
      <c r="N24" s="164">
        <v>148.58536585365849</v>
      </c>
    </row>
    <row r="25" spans="1:14" x14ac:dyDescent="0.25">
      <c r="A25" s="157" t="s">
        <v>33</v>
      </c>
      <c r="B25" s="164">
        <v>391.61290322580652</v>
      </c>
      <c r="C25" s="164">
        <v>408.90322580645159</v>
      </c>
      <c r="D25" s="164">
        <v>445.5</v>
      </c>
      <c r="E25" s="164">
        <v>411.77419354838707</v>
      </c>
      <c r="F25" s="164">
        <v>401.6</v>
      </c>
      <c r="G25" s="164">
        <v>347</v>
      </c>
      <c r="H25" s="164">
        <v>337.2</v>
      </c>
      <c r="I25" s="164">
        <v>322.67741935483872</v>
      </c>
      <c r="J25" s="164">
        <v>330.90322580645159</v>
      </c>
      <c r="K25" s="164">
        <v>335.13333333333333</v>
      </c>
      <c r="L25" s="164">
        <v>332.06451612903231</v>
      </c>
      <c r="M25" s="164">
        <v>317.52941176470591</v>
      </c>
      <c r="N25" s="164">
        <v>4370.1138211382113</v>
      </c>
    </row>
    <row r="26" spans="1:14" x14ac:dyDescent="0.25">
      <c r="A26" s="157" t="s">
        <v>34</v>
      </c>
      <c r="B26" s="164">
        <v>185.7741935483871</v>
      </c>
      <c r="C26" s="164">
        <v>232</v>
      </c>
      <c r="D26" s="164">
        <v>228.60714285714289</v>
      </c>
      <c r="E26" s="164">
        <v>209.8064516129032</v>
      </c>
      <c r="F26" s="164">
        <v>225.93333333333331</v>
      </c>
      <c r="G26" s="164">
        <v>203.06451612903231</v>
      </c>
      <c r="H26" s="164">
        <v>189.3666666666667</v>
      </c>
      <c r="I26" s="164">
        <v>183.09677419354841</v>
      </c>
      <c r="J26" s="164">
        <v>200.64516129032259</v>
      </c>
      <c r="K26" s="164">
        <v>194.23333333333329</v>
      </c>
      <c r="L26" s="164">
        <v>188.83870967741939</v>
      </c>
      <c r="M26" s="164">
        <v>189.3235294117647</v>
      </c>
      <c r="N26" s="164">
        <v>2426.7967479674799</v>
      </c>
    </row>
    <row r="27" spans="1:14" x14ac:dyDescent="0.25">
      <c r="A27" s="157" t="s">
        <v>35</v>
      </c>
      <c r="B27" s="164">
        <v>364.48387096774189</v>
      </c>
      <c r="C27" s="164">
        <v>355.67741935483872</v>
      </c>
      <c r="D27" s="164">
        <v>359.96428571428572</v>
      </c>
      <c r="E27" s="164">
        <v>360.77419354838707</v>
      </c>
      <c r="F27" s="164">
        <v>365.1</v>
      </c>
      <c r="G27" s="164">
        <v>354.38709677419348</v>
      </c>
      <c r="H27" s="164">
        <v>349.3</v>
      </c>
      <c r="I27" s="164">
        <v>342.90322580645159</v>
      </c>
      <c r="J27" s="164">
        <v>332.45161290322579</v>
      </c>
      <c r="K27" s="164">
        <v>311.2</v>
      </c>
      <c r="L27" s="164">
        <v>307.77419354838707</v>
      </c>
      <c r="M27" s="164">
        <v>298.91176470588238</v>
      </c>
      <c r="N27" s="164">
        <v>4096.9756097560976</v>
      </c>
    </row>
    <row r="28" spans="1:14" x14ac:dyDescent="0.25">
      <c r="A28" s="157" t="s">
        <v>36</v>
      </c>
      <c r="B28" s="164">
        <v>131.8064516129032</v>
      </c>
      <c r="C28" s="164">
        <v>134.48387096774189</v>
      </c>
      <c r="D28" s="164">
        <v>132.17857142857139</v>
      </c>
      <c r="E28" s="164">
        <v>137.7741935483871</v>
      </c>
      <c r="F28" s="164">
        <v>142.4</v>
      </c>
      <c r="G28" s="164">
        <v>121.48387096774189</v>
      </c>
      <c r="H28" s="164">
        <v>113.1</v>
      </c>
      <c r="I28" s="164">
        <v>111.3225806451613</v>
      </c>
      <c r="J28" s="164">
        <v>111.9032258064516</v>
      </c>
      <c r="K28" s="164">
        <v>111.26666666666669</v>
      </c>
      <c r="L28" s="164">
        <v>110.258064516129</v>
      </c>
      <c r="M28" s="164">
        <v>117.11764705882349</v>
      </c>
      <c r="N28" s="164">
        <v>1473.6910569105692</v>
      </c>
    </row>
    <row r="29" spans="1:14" x14ac:dyDescent="0.25">
      <c r="A29" s="157" t="s">
        <v>37</v>
      </c>
      <c r="B29" s="165">
        <v>163.7741935483871</v>
      </c>
      <c r="C29" s="165">
        <v>161.87096774193549</v>
      </c>
      <c r="D29" s="165">
        <v>161.67857142857139</v>
      </c>
      <c r="E29" s="165">
        <v>163.70967741935479</v>
      </c>
      <c r="F29" s="165">
        <v>173.93333333333331</v>
      </c>
      <c r="G29" s="165">
        <v>173.12903225806451</v>
      </c>
      <c r="H29" s="165">
        <v>171.43333333333331</v>
      </c>
      <c r="I29" s="165">
        <v>174.9677419354839</v>
      </c>
      <c r="J29" s="165">
        <v>179.67741935483869</v>
      </c>
      <c r="K29" s="165">
        <v>176.8666666666667</v>
      </c>
      <c r="L29" s="165">
        <v>177.741935483871</v>
      </c>
      <c r="M29" s="165">
        <v>177.9117647058824</v>
      </c>
      <c r="N29" s="165">
        <v>2058.0162601626016</v>
      </c>
    </row>
    <row r="30" spans="1:14" ht="30" x14ac:dyDescent="0.25">
      <c r="A30" s="157" t="s">
        <v>38</v>
      </c>
      <c r="B30" s="164">
        <v>3577.9677419354839</v>
      </c>
      <c r="C30" s="164">
        <v>3590.8387096774195</v>
      </c>
      <c r="D30" s="164">
        <v>3614.3214285714284</v>
      </c>
      <c r="E30" s="164">
        <v>3553.6774193548385</v>
      </c>
      <c r="F30" s="164">
        <v>3556.1666666666665</v>
      </c>
      <c r="G30" s="164">
        <v>3500.4516129032259</v>
      </c>
      <c r="H30" s="164">
        <v>3473.2666666666669</v>
      </c>
      <c r="I30" s="164">
        <v>3435.5806451612902</v>
      </c>
      <c r="J30" s="164">
        <v>3442.3870967741937</v>
      </c>
      <c r="K30" s="164">
        <v>3415.5666666666666</v>
      </c>
      <c r="L30" s="164">
        <v>3424</v>
      </c>
      <c r="M30" s="164">
        <v>3401.8823529411766</v>
      </c>
      <c r="N30" s="164">
        <v>41967.056910569103</v>
      </c>
    </row>
    <row r="31" spans="1:14" x14ac:dyDescent="0.25">
      <c r="A31" s="157" t="s">
        <v>439</v>
      </c>
      <c r="B31" s="160">
        <v>1240</v>
      </c>
      <c r="C31" s="160">
        <v>1240</v>
      </c>
      <c r="D31" s="160">
        <v>1120</v>
      </c>
      <c r="E31" s="160">
        <v>1240</v>
      </c>
      <c r="F31" s="160">
        <v>1200</v>
      </c>
      <c r="G31" s="160">
        <v>1240</v>
      </c>
      <c r="H31" s="160">
        <v>1200</v>
      </c>
      <c r="I31" s="160">
        <v>1240</v>
      </c>
      <c r="J31" s="160">
        <v>1240</v>
      </c>
      <c r="K31" s="160">
        <v>1200</v>
      </c>
      <c r="L31" s="160">
        <v>1240</v>
      </c>
      <c r="M31" s="160">
        <v>1360</v>
      </c>
      <c r="N31" s="160">
        <v>14760</v>
      </c>
    </row>
    <row r="32" spans="1:14" x14ac:dyDescent="0.25">
      <c r="A32" s="157" t="s">
        <v>440</v>
      </c>
      <c r="B32" s="160">
        <v>40</v>
      </c>
      <c r="C32" s="160">
        <v>40</v>
      </c>
      <c r="D32" s="160">
        <v>40</v>
      </c>
      <c r="E32" s="160">
        <v>40</v>
      </c>
      <c r="F32" s="160">
        <v>40</v>
      </c>
      <c r="G32" s="160">
        <v>40</v>
      </c>
      <c r="H32" s="160">
        <v>40</v>
      </c>
      <c r="I32" s="160">
        <v>40</v>
      </c>
      <c r="J32" s="160">
        <v>40</v>
      </c>
      <c r="K32" s="160">
        <v>40</v>
      </c>
      <c r="L32" s="160">
        <v>40</v>
      </c>
      <c r="M32" s="160">
        <v>40</v>
      </c>
      <c r="N32" s="160">
        <v>480</v>
      </c>
    </row>
    <row r="33" spans="1:14" x14ac:dyDescent="0.25">
      <c r="A33" s="157" t="s">
        <v>441</v>
      </c>
      <c r="B33" s="160">
        <v>31</v>
      </c>
      <c r="C33" s="160">
        <v>31</v>
      </c>
      <c r="D33" s="160">
        <v>28</v>
      </c>
      <c r="E33" s="160">
        <v>31</v>
      </c>
      <c r="F33" s="160">
        <v>30</v>
      </c>
      <c r="G33" s="160">
        <v>31</v>
      </c>
      <c r="H33" s="160">
        <v>30</v>
      </c>
      <c r="I33" s="160">
        <v>31</v>
      </c>
      <c r="J33" s="160">
        <v>31</v>
      </c>
      <c r="K33" s="160">
        <v>30</v>
      </c>
      <c r="L33" s="160">
        <v>31</v>
      </c>
      <c r="M33" s="160">
        <v>34</v>
      </c>
      <c r="N33" s="160">
        <v>30.75</v>
      </c>
    </row>
    <row r="34" spans="1:14" x14ac:dyDescent="0.25">
      <c r="A34" s="157"/>
      <c r="B34" s="161"/>
      <c r="C34" s="161"/>
      <c r="D34" s="161"/>
      <c r="E34" s="161"/>
      <c r="F34" s="161"/>
      <c r="G34" s="161"/>
      <c r="H34" s="161"/>
      <c r="I34" s="161"/>
      <c r="J34" s="161"/>
      <c r="K34" s="161"/>
      <c r="L34" s="161"/>
      <c r="M34" s="161"/>
      <c r="N34" s="161"/>
    </row>
    <row r="35" spans="1:14" x14ac:dyDescent="0.25">
      <c r="A35" s="163" t="s">
        <v>442</v>
      </c>
      <c r="B35" s="160">
        <v>66002</v>
      </c>
      <c r="C35" s="160">
        <v>64119</v>
      </c>
      <c r="D35" s="160">
        <v>57130</v>
      </c>
      <c r="E35" s="160">
        <v>63762</v>
      </c>
      <c r="F35" s="160">
        <v>60940</v>
      </c>
      <c r="G35" s="160">
        <v>63469</v>
      </c>
      <c r="H35" s="160">
        <v>61975</v>
      </c>
      <c r="I35" s="160">
        <v>64443</v>
      </c>
      <c r="J35" s="160">
        <v>64443</v>
      </c>
      <c r="K35" s="160">
        <v>61534</v>
      </c>
      <c r="L35" s="160">
        <v>64634</v>
      </c>
      <c r="M35" s="160">
        <v>70278</v>
      </c>
      <c r="N35" s="160">
        <v>762729</v>
      </c>
    </row>
    <row r="36" spans="1:14" x14ac:dyDescent="0.25">
      <c r="A36" s="163" t="s">
        <v>39</v>
      </c>
      <c r="B36" s="160">
        <f t="shared" ref="B36:N36" si="1">B35</f>
        <v>66002</v>
      </c>
      <c r="C36" s="160">
        <f t="shared" si="1"/>
        <v>64119</v>
      </c>
      <c r="D36" s="160">
        <f t="shared" si="1"/>
        <v>57130</v>
      </c>
      <c r="E36" s="160">
        <f t="shared" si="1"/>
        <v>63762</v>
      </c>
      <c r="F36" s="160">
        <f t="shared" si="1"/>
        <v>60940</v>
      </c>
      <c r="G36" s="160">
        <f t="shared" si="1"/>
        <v>63469</v>
      </c>
      <c r="H36" s="160">
        <f t="shared" si="1"/>
        <v>61975</v>
      </c>
      <c r="I36" s="160">
        <f t="shared" si="1"/>
        <v>64443</v>
      </c>
      <c r="J36" s="160">
        <f t="shared" si="1"/>
        <v>64443</v>
      </c>
      <c r="K36" s="160">
        <f t="shared" si="1"/>
        <v>61534</v>
      </c>
      <c r="L36" s="160">
        <f t="shared" si="1"/>
        <v>64634</v>
      </c>
      <c r="M36" s="160">
        <f t="shared" si="1"/>
        <v>70278</v>
      </c>
      <c r="N36" s="160">
        <f t="shared" si="1"/>
        <v>762729</v>
      </c>
    </row>
    <row r="37" spans="1:14" x14ac:dyDescent="0.25">
      <c r="A37" s="163" t="s">
        <v>443</v>
      </c>
      <c r="B37" s="160">
        <v>5763</v>
      </c>
      <c r="C37" s="160">
        <v>6272</v>
      </c>
      <c r="D37" s="160">
        <v>6329</v>
      </c>
      <c r="E37" s="160">
        <v>6362</v>
      </c>
      <c r="F37" s="160">
        <v>6235</v>
      </c>
      <c r="G37" s="160">
        <v>7154</v>
      </c>
      <c r="H37" s="160">
        <v>6627</v>
      </c>
      <c r="I37" s="160">
        <v>6155</v>
      </c>
      <c r="J37" s="160">
        <v>5659</v>
      </c>
      <c r="K37" s="160">
        <v>6312</v>
      </c>
      <c r="L37" s="160">
        <v>6222</v>
      </c>
      <c r="M37" s="160">
        <v>7224</v>
      </c>
      <c r="N37" s="160">
        <v>76314</v>
      </c>
    </row>
    <row r="38" spans="1:14" x14ac:dyDescent="0.25">
      <c r="A38" s="163" t="s">
        <v>40</v>
      </c>
      <c r="B38" s="166">
        <f t="shared" ref="B38:N38" si="2">B37</f>
        <v>5763</v>
      </c>
      <c r="C38" s="166">
        <f t="shared" si="2"/>
        <v>6272</v>
      </c>
      <c r="D38" s="166">
        <f t="shared" si="2"/>
        <v>6329</v>
      </c>
      <c r="E38" s="166">
        <f t="shared" si="2"/>
        <v>6362</v>
      </c>
      <c r="F38" s="166">
        <f t="shared" si="2"/>
        <v>6235</v>
      </c>
      <c r="G38" s="166">
        <f t="shared" si="2"/>
        <v>7154</v>
      </c>
      <c r="H38" s="166">
        <f t="shared" si="2"/>
        <v>6627</v>
      </c>
      <c r="I38" s="166">
        <f t="shared" si="2"/>
        <v>6155</v>
      </c>
      <c r="J38" s="166">
        <f t="shared" si="2"/>
        <v>5659</v>
      </c>
      <c r="K38" s="166">
        <f t="shared" si="2"/>
        <v>6312</v>
      </c>
      <c r="L38" s="166">
        <f t="shared" si="2"/>
        <v>6222</v>
      </c>
      <c r="M38" s="166">
        <f t="shared" si="2"/>
        <v>7224</v>
      </c>
      <c r="N38" s="166">
        <f t="shared" si="2"/>
        <v>76314</v>
      </c>
    </row>
    <row r="39" spans="1:14" x14ac:dyDescent="0.25">
      <c r="A39" s="157" t="s">
        <v>444</v>
      </c>
      <c r="B39" s="160">
        <v>71765</v>
      </c>
      <c r="C39" s="160">
        <v>70391</v>
      </c>
      <c r="D39" s="160">
        <v>63459</v>
      </c>
      <c r="E39" s="160">
        <v>70124</v>
      </c>
      <c r="F39" s="160">
        <v>67175</v>
      </c>
      <c r="G39" s="160">
        <v>70623</v>
      </c>
      <c r="H39" s="160">
        <v>68602</v>
      </c>
      <c r="I39" s="160">
        <v>70598</v>
      </c>
      <c r="J39" s="160">
        <v>70102</v>
      </c>
      <c r="K39" s="160">
        <v>67846</v>
      </c>
      <c r="L39" s="160">
        <v>70856</v>
      </c>
      <c r="M39" s="160">
        <v>77502</v>
      </c>
      <c r="N39" s="160">
        <v>839043</v>
      </c>
    </row>
    <row r="40" spans="1:14" x14ac:dyDescent="0.25">
      <c r="A40" s="157" t="s">
        <v>41</v>
      </c>
      <c r="B40" s="160">
        <f t="shared" ref="B40:N40" si="3">B39</f>
        <v>71765</v>
      </c>
      <c r="C40" s="160">
        <f t="shared" si="3"/>
        <v>70391</v>
      </c>
      <c r="D40" s="160">
        <f t="shared" si="3"/>
        <v>63459</v>
      </c>
      <c r="E40" s="160">
        <f t="shared" si="3"/>
        <v>70124</v>
      </c>
      <c r="F40" s="160">
        <f t="shared" si="3"/>
        <v>67175</v>
      </c>
      <c r="G40" s="160">
        <f t="shared" si="3"/>
        <v>70623</v>
      </c>
      <c r="H40" s="160">
        <f t="shared" si="3"/>
        <v>68602</v>
      </c>
      <c r="I40" s="160">
        <f t="shared" si="3"/>
        <v>70598</v>
      </c>
      <c r="J40" s="160">
        <f t="shared" si="3"/>
        <v>70102</v>
      </c>
      <c r="K40" s="160">
        <f t="shared" si="3"/>
        <v>67846</v>
      </c>
      <c r="L40" s="160">
        <f t="shared" si="3"/>
        <v>70856</v>
      </c>
      <c r="M40" s="160">
        <f t="shared" si="3"/>
        <v>77502</v>
      </c>
      <c r="N40" s="160">
        <f t="shared" si="3"/>
        <v>839043</v>
      </c>
    </row>
    <row r="41" spans="1:14" hidden="1" x14ac:dyDescent="0.25">
      <c r="A41" s="157" t="s">
        <v>445</v>
      </c>
      <c r="B41" s="160">
        <v>441</v>
      </c>
      <c r="C41" s="160">
        <v>418</v>
      </c>
      <c r="D41" s="160">
        <v>376</v>
      </c>
      <c r="E41" s="160">
        <v>0</v>
      </c>
      <c r="F41" s="160">
        <v>0</v>
      </c>
      <c r="G41" s="160">
        <v>478</v>
      </c>
      <c r="H41" s="160">
        <v>453</v>
      </c>
      <c r="I41" s="160">
        <v>446</v>
      </c>
      <c r="J41" s="160">
        <v>464</v>
      </c>
      <c r="K41" s="160">
        <v>486</v>
      </c>
      <c r="L41" s="160">
        <v>516</v>
      </c>
      <c r="M41" s="160">
        <v>491</v>
      </c>
      <c r="N41" s="160">
        <v>4569</v>
      </c>
    </row>
    <row r="42" spans="1:14" x14ac:dyDescent="0.25">
      <c r="A42" s="157" t="s">
        <v>42</v>
      </c>
      <c r="B42" s="160">
        <f t="shared" ref="B42:N42" si="4">B41</f>
        <v>441</v>
      </c>
      <c r="C42" s="160">
        <f t="shared" si="4"/>
        <v>418</v>
      </c>
      <c r="D42" s="160">
        <f t="shared" si="4"/>
        <v>376</v>
      </c>
      <c r="E42" s="160">
        <f t="shared" si="4"/>
        <v>0</v>
      </c>
      <c r="F42" s="160">
        <f t="shared" si="4"/>
        <v>0</v>
      </c>
      <c r="G42" s="160">
        <f t="shared" si="4"/>
        <v>478</v>
      </c>
      <c r="H42" s="160">
        <f t="shared" si="4"/>
        <v>453</v>
      </c>
      <c r="I42" s="160">
        <f t="shared" si="4"/>
        <v>446</v>
      </c>
      <c r="J42" s="160">
        <f t="shared" si="4"/>
        <v>464</v>
      </c>
      <c r="K42" s="160">
        <f t="shared" si="4"/>
        <v>486</v>
      </c>
      <c r="L42" s="160">
        <f t="shared" si="4"/>
        <v>516</v>
      </c>
      <c r="M42" s="160">
        <f t="shared" si="4"/>
        <v>491</v>
      </c>
      <c r="N42" s="160">
        <f t="shared" si="4"/>
        <v>4569</v>
      </c>
    </row>
    <row r="43" spans="1:14" hidden="1" x14ac:dyDescent="0.25">
      <c r="A43" s="157" t="s">
        <v>446</v>
      </c>
      <c r="B43" s="160">
        <v>12140</v>
      </c>
      <c r="C43" s="160">
        <v>12676</v>
      </c>
      <c r="D43" s="160">
        <v>12474</v>
      </c>
      <c r="E43" s="160">
        <v>12765</v>
      </c>
      <c r="F43" s="160">
        <v>12048</v>
      </c>
      <c r="G43" s="160">
        <v>10757</v>
      </c>
      <c r="H43" s="160">
        <v>10116</v>
      </c>
      <c r="I43" s="160">
        <v>10003</v>
      </c>
      <c r="J43" s="160">
        <v>10258</v>
      </c>
      <c r="K43" s="160">
        <v>10054</v>
      </c>
      <c r="L43" s="160">
        <v>10294</v>
      </c>
      <c r="M43" s="160">
        <v>10796</v>
      </c>
      <c r="N43" s="160">
        <v>134381</v>
      </c>
    </row>
    <row r="44" spans="1:14" x14ac:dyDescent="0.25">
      <c r="A44" s="157" t="s">
        <v>43</v>
      </c>
      <c r="B44" s="160">
        <f t="shared" ref="B44:N44" si="5">B43</f>
        <v>12140</v>
      </c>
      <c r="C44" s="160">
        <f t="shared" si="5"/>
        <v>12676</v>
      </c>
      <c r="D44" s="160">
        <f t="shared" si="5"/>
        <v>12474</v>
      </c>
      <c r="E44" s="160">
        <f t="shared" si="5"/>
        <v>12765</v>
      </c>
      <c r="F44" s="160">
        <f t="shared" si="5"/>
        <v>12048</v>
      </c>
      <c r="G44" s="160">
        <f t="shared" si="5"/>
        <v>10757</v>
      </c>
      <c r="H44" s="160">
        <f t="shared" si="5"/>
        <v>10116</v>
      </c>
      <c r="I44" s="160">
        <f t="shared" si="5"/>
        <v>10003</v>
      </c>
      <c r="J44" s="160">
        <f t="shared" si="5"/>
        <v>10258</v>
      </c>
      <c r="K44" s="160">
        <f t="shared" si="5"/>
        <v>10054</v>
      </c>
      <c r="L44" s="160">
        <f t="shared" si="5"/>
        <v>10294</v>
      </c>
      <c r="M44" s="160">
        <f t="shared" si="5"/>
        <v>10796</v>
      </c>
      <c r="N44" s="160">
        <f t="shared" si="5"/>
        <v>134381</v>
      </c>
    </row>
    <row r="45" spans="1:14" hidden="1" x14ac:dyDescent="0.25">
      <c r="A45" s="157" t="s">
        <v>447</v>
      </c>
      <c r="B45" s="160">
        <v>5759</v>
      </c>
      <c r="C45" s="160">
        <v>7192</v>
      </c>
      <c r="D45" s="160">
        <v>6401</v>
      </c>
      <c r="E45" s="160">
        <v>6504</v>
      </c>
      <c r="F45" s="160">
        <v>6778</v>
      </c>
      <c r="G45" s="160">
        <v>6295</v>
      </c>
      <c r="H45" s="160">
        <v>5681</v>
      </c>
      <c r="I45" s="160">
        <v>5676</v>
      </c>
      <c r="J45" s="160">
        <v>6220</v>
      </c>
      <c r="K45" s="160">
        <v>5827</v>
      </c>
      <c r="L45" s="160">
        <v>5854</v>
      </c>
      <c r="M45" s="160">
        <v>6437</v>
      </c>
      <c r="N45" s="160">
        <v>74624</v>
      </c>
    </row>
    <row r="46" spans="1:14" x14ac:dyDescent="0.25">
      <c r="A46" s="157" t="s">
        <v>44</v>
      </c>
      <c r="B46" s="160">
        <f t="shared" ref="B46:N46" si="6">B45</f>
        <v>5759</v>
      </c>
      <c r="C46" s="160">
        <f t="shared" si="6"/>
        <v>7192</v>
      </c>
      <c r="D46" s="160">
        <f t="shared" si="6"/>
        <v>6401</v>
      </c>
      <c r="E46" s="160">
        <f t="shared" si="6"/>
        <v>6504</v>
      </c>
      <c r="F46" s="160">
        <f t="shared" si="6"/>
        <v>6778</v>
      </c>
      <c r="G46" s="160">
        <f t="shared" si="6"/>
        <v>6295</v>
      </c>
      <c r="H46" s="160">
        <f t="shared" si="6"/>
        <v>5681</v>
      </c>
      <c r="I46" s="160">
        <f t="shared" si="6"/>
        <v>5676</v>
      </c>
      <c r="J46" s="160">
        <f t="shared" si="6"/>
        <v>6220</v>
      </c>
      <c r="K46" s="160">
        <f t="shared" si="6"/>
        <v>5827</v>
      </c>
      <c r="L46" s="160">
        <f t="shared" si="6"/>
        <v>5854</v>
      </c>
      <c r="M46" s="160">
        <f t="shared" si="6"/>
        <v>6437</v>
      </c>
      <c r="N46" s="160">
        <f t="shared" si="6"/>
        <v>74624</v>
      </c>
    </row>
    <row r="47" spans="1:14" hidden="1" x14ac:dyDescent="0.25">
      <c r="A47" s="157" t="s">
        <v>448</v>
      </c>
      <c r="B47" s="160">
        <v>11299</v>
      </c>
      <c r="C47" s="160">
        <v>11026</v>
      </c>
      <c r="D47" s="160">
        <v>10079</v>
      </c>
      <c r="E47" s="160">
        <v>11184</v>
      </c>
      <c r="F47" s="160">
        <v>10953</v>
      </c>
      <c r="G47" s="160">
        <v>10986</v>
      </c>
      <c r="H47" s="160">
        <v>10479</v>
      </c>
      <c r="I47" s="160">
        <v>10630</v>
      </c>
      <c r="J47" s="160">
        <v>10306</v>
      </c>
      <c r="K47" s="160">
        <v>9336</v>
      </c>
      <c r="L47" s="160">
        <v>9541</v>
      </c>
      <c r="M47" s="160">
        <v>10163</v>
      </c>
      <c r="N47" s="160">
        <v>125982</v>
      </c>
    </row>
    <row r="48" spans="1:14" x14ac:dyDescent="0.25">
      <c r="A48" s="157" t="s">
        <v>45</v>
      </c>
      <c r="B48" s="160">
        <f t="shared" ref="B48:N48" si="7">B47</f>
        <v>11299</v>
      </c>
      <c r="C48" s="160">
        <f t="shared" si="7"/>
        <v>11026</v>
      </c>
      <c r="D48" s="160">
        <f t="shared" si="7"/>
        <v>10079</v>
      </c>
      <c r="E48" s="160">
        <f t="shared" si="7"/>
        <v>11184</v>
      </c>
      <c r="F48" s="160">
        <f t="shared" si="7"/>
        <v>10953</v>
      </c>
      <c r="G48" s="160">
        <f t="shared" si="7"/>
        <v>10986</v>
      </c>
      <c r="H48" s="160">
        <f t="shared" si="7"/>
        <v>10479</v>
      </c>
      <c r="I48" s="160">
        <f t="shared" si="7"/>
        <v>10630</v>
      </c>
      <c r="J48" s="160">
        <f t="shared" si="7"/>
        <v>10306</v>
      </c>
      <c r="K48" s="160">
        <f t="shared" si="7"/>
        <v>9336</v>
      </c>
      <c r="L48" s="160">
        <f t="shared" si="7"/>
        <v>9541</v>
      </c>
      <c r="M48" s="160">
        <f t="shared" si="7"/>
        <v>10163</v>
      </c>
      <c r="N48" s="160">
        <f t="shared" si="7"/>
        <v>125982</v>
      </c>
    </row>
    <row r="49" spans="1:14" hidden="1" x14ac:dyDescent="0.25">
      <c r="A49" s="157" t="s">
        <v>449</v>
      </c>
      <c r="B49" s="160">
        <v>4086</v>
      </c>
      <c r="C49" s="160">
        <v>4169</v>
      </c>
      <c r="D49" s="160">
        <v>3701</v>
      </c>
      <c r="E49" s="160">
        <v>4271</v>
      </c>
      <c r="F49" s="160">
        <v>4272</v>
      </c>
      <c r="G49" s="160">
        <v>3766</v>
      </c>
      <c r="H49" s="160">
        <v>3393</v>
      </c>
      <c r="I49" s="160">
        <v>3451</v>
      </c>
      <c r="J49" s="160">
        <v>3469</v>
      </c>
      <c r="K49" s="160">
        <v>3338</v>
      </c>
      <c r="L49" s="160">
        <v>3418</v>
      </c>
      <c r="M49" s="160">
        <v>3982</v>
      </c>
      <c r="N49" s="160">
        <v>45316</v>
      </c>
    </row>
    <row r="50" spans="1:14" x14ac:dyDescent="0.25">
      <c r="A50" s="157" t="s">
        <v>46</v>
      </c>
      <c r="B50" s="160">
        <f t="shared" ref="B50:N50" si="8">B49</f>
        <v>4086</v>
      </c>
      <c r="C50" s="160">
        <f t="shared" si="8"/>
        <v>4169</v>
      </c>
      <c r="D50" s="160">
        <f t="shared" si="8"/>
        <v>3701</v>
      </c>
      <c r="E50" s="160">
        <f t="shared" si="8"/>
        <v>4271</v>
      </c>
      <c r="F50" s="160">
        <f t="shared" si="8"/>
        <v>4272</v>
      </c>
      <c r="G50" s="160">
        <f t="shared" si="8"/>
        <v>3766</v>
      </c>
      <c r="H50" s="160">
        <f t="shared" si="8"/>
        <v>3393</v>
      </c>
      <c r="I50" s="160">
        <f t="shared" si="8"/>
        <v>3451</v>
      </c>
      <c r="J50" s="160">
        <f t="shared" si="8"/>
        <v>3469</v>
      </c>
      <c r="K50" s="160">
        <f t="shared" si="8"/>
        <v>3338</v>
      </c>
      <c r="L50" s="160">
        <f t="shared" si="8"/>
        <v>3418</v>
      </c>
      <c r="M50" s="160">
        <f t="shared" si="8"/>
        <v>3982</v>
      </c>
      <c r="N50" s="160">
        <f t="shared" si="8"/>
        <v>45316</v>
      </c>
    </row>
    <row r="51" spans="1:14" hidden="1" x14ac:dyDescent="0.25">
      <c r="A51" s="157" t="s">
        <v>450</v>
      </c>
      <c r="B51" s="160">
        <v>5077</v>
      </c>
      <c r="C51" s="160">
        <v>5018</v>
      </c>
      <c r="D51" s="160">
        <v>4527</v>
      </c>
      <c r="E51" s="160">
        <v>5075</v>
      </c>
      <c r="F51" s="160">
        <v>5218</v>
      </c>
      <c r="G51" s="160">
        <v>5367</v>
      </c>
      <c r="H51" s="160">
        <v>5143</v>
      </c>
      <c r="I51" s="160">
        <v>5424</v>
      </c>
      <c r="J51" s="160">
        <v>5570</v>
      </c>
      <c r="K51" s="160">
        <v>5306</v>
      </c>
      <c r="L51" s="160">
        <v>5510</v>
      </c>
      <c r="M51" s="160">
        <v>6049</v>
      </c>
      <c r="N51" s="160">
        <v>63284</v>
      </c>
    </row>
    <row r="52" spans="1:14" x14ac:dyDescent="0.25">
      <c r="A52" s="157" t="s">
        <v>47</v>
      </c>
      <c r="B52" s="160">
        <f t="shared" ref="B52:N52" si="9">B51</f>
        <v>5077</v>
      </c>
      <c r="C52" s="160">
        <f t="shared" si="9"/>
        <v>5018</v>
      </c>
      <c r="D52" s="160">
        <f t="shared" si="9"/>
        <v>4527</v>
      </c>
      <c r="E52" s="160">
        <f t="shared" si="9"/>
        <v>5075</v>
      </c>
      <c r="F52" s="160">
        <f t="shared" si="9"/>
        <v>5218</v>
      </c>
      <c r="G52" s="160">
        <f t="shared" si="9"/>
        <v>5367</v>
      </c>
      <c r="H52" s="160">
        <f t="shared" si="9"/>
        <v>5143</v>
      </c>
      <c r="I52" s="160">
        <f t="shared" si="9"/>
        <v>5424</v>
      </c>
      <c r="J52" s="160">
        <f t="shared" si="9"/>
        <v>5570</v>
      </c>
      <c r="K52" s="160">
        <f t="shared" si="9"/>
        <v>5306</v>
      </c>
      <c r="L52" s="160">
        <f t="shared" si="9"/>
        <v>5510</v>
      </c>
      <c r="M52" s="160">
        <f t="shared" si="9"/>
        <v>6049</v>
      </c>
      <c r="N52" s="160">
        <f t="shared" si="9"/>
        <v>63284</v>
      </c>
    </row>
    <row r="53" spans="1:14" hidden="1" x14ac:dyDescent="0.25">
      <c r="A53" s="157" t="s">
        <v>451</v>
      </c>
      <c r="B53" s="160">
        <v>350</v>
      </c>
      <c r="C53" s="160">
        <v>426</v>
      </c>
      <c r="D53" s="160">
        <v>184</v>
      </c>
      <c r="E53" s="160">
        <v>241</v>
      </c>
      <c r="F53" s="160">
        <v>241</v>
      </c>
      <c r="G53" s="160">
        <v>242</v>
      </c>
      <c r="H53" s="160">
        <v>331</v>
      </c>
      <c r="I53" s="160">
        <v>275</v>
      </c>
      <c r="J53" s="160">
        <v>325</v>
      </c>
      <c r="K53" s="160">
        <v>274</v>
      </c>
      <c r="L53" s="160">
        <v>155</v>
      </c>
      <c r="M53" s="160">
        <v>244</v>
      </c>
      <c r="N53" s="160">
        <v>3288</v>
      </c>
    </row>
    <row r="54" spans="1:14" x14ac:dyDescent="0.25">
      <c r="A54" s="157" t="s">
        <v>48</v>
      </c>
      <c r="B54" s="160">
        <f t="shared" ref="B54:N54" si="10">B53</f>
        <v>350</v>
      </c>
      <c r="C54" s="160">
        <f t="shared" si="10"/>
        <v>426</v>
      </c>
      <c r="D54" s="160">
        <f t="shared" si="10"/>
        <v>184</v>
      </c>
      <c r="E54" s="160">
        <f t="shared" si="10"/>
        <v>241</v>
      </c>
      <c r="F54" s="160">
        <f t="shared" si="10"/>
        <v>241</v>
      </c>
      <c r="G54" s="160">
        <f t="shared" si="10"/>
        <v>242</v>
      </c>
      <c r="H54" s="160">
        <f t="shared" si="10"/>
        <v>331</v>
      </c>
      <c r="I54" s="160">
        <f t="shared" si="10"/>
        <v>275</v>
      </c>
      <c r="J54" s="160">
        <f t="shared" si="10"/>
        <v>325</v>
      </c>
      <c r="K54" s="160">
        <f t="shared" si="10"/>
        <v>274</v>
      </c>
      <c r="L54" s="160">
        <f t="shared" si="10"/>
        <v>155</v>
      </c>
      <c r="M54" s="160">
        <f t="shared" si="10"/>
        <v>244</v>
      </c>
      <c r="N54" s="160">
        <f t="shared" si="10"/>
        <v>3288</v>
      </c>
    </row>
    <row r="55" spans="1:14" x14ac:dyDescent="0.25">
      <c r="A55" s="157" t="s">
        <v>49</v>
      </c>
      <c r="B55" s="160">
        <v>-2851</v>
      </c>
      <c r="C55" s="160">
        <v>-1295</v>
      </c>
      <c r="D55" s="160">
        <v>-1532</v>
      </c>
      <c r="E55" s="160">
        <v>-2524</v>
      </c>
      <c r="F55" s="160">
        <v>-5847</v>
      </c>
      <c r="G55" s="160">
        <v>-1219</v>
      </c>
      <c r="H55" s="160">
        <v>-1840</v>
      </c>
      <c r="I55" s="160">
        <v>-2588</v>
      </c>
      <c r="J55" s="160">
        <v>-1753</v>
      </c>
      <c r="K55" s="160">
        <v>-237</v>
      </c>
      <c r="L55" s="160">
        <v>-1912</v>
      </c>
      <c r="M55" s="160">
        <v>-2231</v>
      </c>
      <c r="N55" s="160">
        <v>-25829</v>
      </c>
    </row>
    <row r="56" spans="1:14" x14ac:dyDescent="0.25">
      <c r="A56" s="157" t="s">
        <v>50</v>
      </c>
      <c r="B56" s="160">
        <v>-112</v>
      </c>
      <c r="C56" s="160">
        <v>-233</v>
      </c>
      <c r="D56" s="160">
        <v>-181</v>
      </c>
      <c r="E56" s="160">
        <v>-147</v>
      </c>
      <c r="F56" s="160">
        <v>-110</v>
      </c>
      <c r="G56" s="160">
        <v>-301</v>
      </c>
      <c r="H56" s="160">
        <v>-288</v>
      </c>
      <c r="I56" s="160">
        <v>-78</v>
      </c>
      <c r="J56" s="160">
        <v>-205</v>
      </c>
      <c r="K56" s="160">
        <v>12</v>
      </c>
      <c r="L56" s="160">
        <v>-145</v>
      </c>
      <c r="M56" s="160">
        <v>-110</v>
      </c>
      <c r="N56" s="160">
        <v>-1898</v>
      </c>
    </row>
    <row r="57" spans="1:14" x14ac:dyDescent="0.25">
      <c r="A57" s="157" t="s">
        <v>51</v>
      </c>
      <c r="B57" s="160">
        <v>1935</v>
      </c>
      <c r="C57" s="160">
        <v>156</v>
      </c>
      <c r="D57" s="160">
        <v>969</v>
      </c>
      <c r="E57" s="160">
        <v>2237</v>
      </c>
      <c r="F57" s="160">
        <v>5658</v>
      </c>
      <c r="G57" s="160">
        <v>1647</v>
      </c>
      <c r="H57" s="160">
        <v>1881</v>
      </c>
      <c r="I57" s="160">
        <v>2301</v>
      </c>
      <c r="J57" s="160">
        <v>1010</v>
      </c>
      <c r="K57" s="160">
        <v>33</v>
      </c>
      <c r="L57" s="160">
        <v>1452</v>
      </c>
      <c r="M57" s="160">
        <v>1798</v>
      </c>
      <c r="N57" s="160">
        <v>21077</v>
      </c>
    </row>
    <row r="58" spans="1:14" x14ac:dyDescent="0.25">
      <c r="A58" s="157" t="s">
        <v>52</v>
      </c>
      <c r="B58" s="160">
        <v>130</v>
      </c>
      <c r="C58" s="160">
        <v>99</v>
      </c>
      <c r="D58" s="160">
        <v>-35</v>
      </c>
      <c r="E58" s="160">
        <v>134</v>
      </c>
      <c r="F58" s="160">
        <v>68</v>
      </c>
      <c r="G58" s="160">
        <v>-329</v>
      </c>
      <c r="H58" s="160">
        <v>-78</v>
      </c>
      <c r="I58" s="160">
        <v>-96</v>
      </c>
      <c r="J58" s="160">
        <v>0</v>
      </c>
      <c r="K58" s="160">
        <v>75</v>
      </c>
      <c r="L58" s="160">
        <v>60</v>
      </c>
      <c r="M58" s="160">
        <v>46</v>
      </c>
      <c r="N58" s="160">
        <v>74</v>
      </c>
    </row>
    <row r="59" spans="1:14" ht="30" x14ac:dyDescent="0.25">
      <c r="A59" s="157" t="s">
        <v>53</v>
      </c>
      <c r="B59" s="160">
        <v>570</v>
      </c>
      <c r="C59" s="160">
        <v>1031</v>
      </c>
      <c r="D59" s="160">
        <v>681</v>
      </c>
      <c r="E59" s="160">
        <v>285</v>
      </c>
      <c r="F59" s="160">
        <v>466</v>
      </c>
      <c r="G59" s="160">
        <v>138</v>
      </c>
      <c r="H59" s="160">
        <v>374</v>
      </c>
      <c r="I59" s="160">
        <v>438</v>
      </c>
      <c r="J59" s="160">
        <v>943</v>
      </c>
      <c r="K59" s="160">
        <v>93</v>
      </c>
      <c r="L59" s="160">
        <v>555</v>
      </c>
      <c r="M59" s="160">
        <v>525</v>
      </c>
      <c r="N59" s="160">
        <v>6099</v>
      </c>
    </row>
    <row r="60" spans="1:14" ht="45" hidden="1" x14ac:dyDescent="0.25">
      <c r="A60" s="157" t="s">
        <v>452</v>
      </c>
      <c r="B60" s="160">
        <f t="shared" ref="B60:N60" si="11">SUM(B55:B59)</f>
        <v>-328</v>
      </c>
      <c r="C60" s="160">
        <f t="shared" si="11"/>
        <v>-242</v>
      </c>
      <c r="D60" s="160">
        <f t="shared" si="11"/>
        <v>-98</v>
      </c>
      <c r="E60" s="160">
        <f t="shared" si="11"/>
        <v>-15</v>
      </c>
      <c r="F60" s="160">
        <f t="shared" si="11"/>
        <v>235</v>
      </c>
      <c r="G60" s="160">
        <f t="shared" si="11"/>
        <v>-64</v>
      </c>
      <c r="H60" s="160">
        <f t="shared" si="11"/>
        <v>49</v>
      </c>
      <c r="I60" s="160">
        <f t="shared" si="11"/>
        <v>-23</v>
      </c>
      <c r="J60" s="160">
        <f t="shared" si="11"/>
        <v>-5</v>
      </c>
      <c r="K60" s="160">
        <f t="shared" si="11"/>
        <v>-24</v>
      </c>
      <c r="L60" s="160">
        <f t="shared" si="11"/>
        <v>10</v>
      </c>
      <c r="M60" s="160">
        <f t="shared" si="11"/>
        <v>28</v>
      </c>
      <c r="N60" s="160">
        <f t="shared" si="11"/>
        <v>-477</v>
      </c>
    </row>
    <row r="61" spans="1:14" x14ac:dyDescent="0.25">
      <c r="A61" s="157" t="s">
        <v>453</v>
      </c>
      <c r="B61" s="166">
        <v>80410</v>
      </c>
      <c r="C61" s="166">
        <v>81655</v>
      </c>
      <c r="D61" s="166">
        <v>74077</v>
      </c>
      <c r="E61" s="166">
        <v>73655</v>
      </c>
      <c r="F61" s="166">
        <v>69892</v>
      </c>
      <c r="G61" s="166">
        <v>57573</v>
      </c>
      <c r="H61" s="166">
        <v>45647</v>
      </c>
      <c r="I61" s="166">
        <v>40078</v>
      </c>
      <c r="J61" s="166">
        <v>37873</v>
      </c>
      <c r="K61" s="166">
        <v>35074</v>
      </c>
      <c r="L61" s="166">
        <v>32308</v>
      </c>
      <c r="M61" s="166">
        <v>52482</v>
      </c>
      <c r="N61" s="166">
        <v>680724</v>
      </c>
    </row>
    <row r="62" spans="1:14" ht="15.75" thickBot="1" x14ac:dyDescent="0.3">
      <c r="A62" s="157" t="s">
        <v>54</v>
      </c>
      <c r="B62" s="167">
        <f t="shared" ref="B62:N62" si="12">B36+B38+B42+B44+0+B46+B48+B52+B50+B54</f>
        <v>110917</v>
      </c>
      <c r="C62" s="167">
        <f t="shared" si="12"/>
        <v>111316</v>
      </c>
      <c r="D62" s="167">
        <f t="shared" si="12"/>
        <v>101201</v>
      </c>
      <c r="E62" s="167">
        <f t="shared" si="12"/>
        <v>110164</v>
      </c>
      <c r="F62" s="167">
        <f t="shared" si="12"/>
        <v>106685</v>
      </c>
      <c r="G62" s="167">
        <f t="shared" si="12"/>
        <v>108514</v>
      </c>
      <c r="H62" s="167">
        <f t="shared" si="12"/>
        <v>104198</v>
      </c>
      <c r="I62" s="167">
        <f t="shared" si="12"/>
        <v>106503</v>
      </c>
      <c r="J62" s="167">
        <f t="shared" si="12"/>
        <v>106714</v>
      </c>
      <c r="K62" s="167">
        <f t="shared" si="12"/>
        <v>102467</v>
      </c>
      <c r="L62" s="167">
        <f t="shared" si="12"/>
        <v>106144</v>
      </c>
      <c r="M62" s="167">
        <f t="shared" si="12"/>
        <v>115664</v>
      </c>
      <c r="N62" s="167">
        <f t="shared" si="12"/>
        <v>1290487</v>
      </c>
    </row>
    <row r="63" spans="1:14" ht="15.75" hidden="1" thickTop="1" x14ac:dyDescent="0.25">
      <c r="A63" s="157"/>
      <c r="B63" s="161"/>
      <c r="C63" s="161"/>
      <c r="D63" s="161"/>
      <c r="E63" s="161"/>
      <c r="F63" s="161"/>
      <c r="G63" s="161"/>
      <c r="H63" s="161"/>
      <c r="I63" s="161"/>
      <c r="J63" s="161"/>
      <c r="K63" s="161"/>
      <c r="L63" s="161"/>
      <c r="M63" s="161"/>
      <c r="N63" s="161"/>
    </row>
    <row r="64" spans="1:14" hidden="1" x14ac:dyDescent="0.25">
      <c r="A64" s="168" t="s">
        <v>454</v>
      </c>
      <c r="B64" s="169">
        <v>-412043.66</v>
      </c>
      <c r="C64" s="169">
        <v>-404804.95</v>
      </c>
      <c r="D64" s="169">
        <v>-404742.31</v>
      </c>
      <c r="E64" s="169">
        <v>-343006.87</v>
      </c>
      <c r="F64" s="169">
        <v>-305218.8</v>
      </c>
      <c r="G64" s="169">
        <v>-299157.12</v>
      </c>
      <c r="H64" s="169">
        <v>-284787.09000000003</v>
      </c>
      <c r="I64" s="169">
        <v>-246209.49</v>
      </c>
      <c r="J64" s="169">
        <v>-225375.62</v>
      </c>
      <c r="K64" s="169">
        <v>-296361.53999999998</v>
      </c>
      <c r="L64" s="169">
        <v>-248625.58</v>
      </c>
      <c r="M64" s="169">
        <v>-251860.75</v>
      </c>
      <c r="N64" s="170">
        <v>-3722193.78</v>
      </c>
    </row>
    <row r="65" spans="1:14" hidden="1" x14ac:dyDescent="0.25">
      <c r="A65" s="171" t="s">
        <v>196</v>
      </c>
      <c r="B65" s="166">
        <f t="shared" ref="B65:N65" si="13">B64-B62</f>
        <v>-522960.66</v>
      </c>
      <c r="C65" s="166">
        <f t="shared" si="13"/>
        <v>-516120.95</v>
      </c>
      <c r="D65" s="166">
        <f t="shared" si="13"/>
        <v>-505943.31</v>
      </c>
      <c r="E65" s="166">
        <f t="shared" si="13"/>
        <v>-453170.87</v>
      </c>
      <c r="F65" s="166">
        <f t="shared" si="13"/>
        <v>-411903.8</v>
      </c>
      <c r="G65" s="166">
        <f t="shared" si="13"/>
        <v>-407671.12</v>
      </c>
      <c r="H65" s="166">
        <f t="shared" si="13"/>
        <v>-388985.09</v>
      </c>
      <c r="I65" s="166">
        <f t="shared" si="13"/>
        <v>-352712.49</v>
      </c>
      <c r="J65" s="166">
        <f t="shared" si="13"/>
        <v>-332089.62</v>
      </c>
      <c r="K65" s="166">
        <f t="shared" si="13"/>
        <v>-398828.54</v>
      </c>
      <c r="L65" s="166">
        <f t="shared" si="13"/>
        <v>-354769.57999999996</v>
      </c>
      <c r="M65" s="166">
        <f t="shared" si="13"/>
        <v>-367524.75</v>
      </c>
      <c r="N65" s="172">
        <f t="shared" si="13"/>
        <v>-5012680.7799999993</v>
      </c>
    </row>
    <row r="66" spans="1:14" ht="15.75" thickTop="1" x14ac:dyDescent="0.25">
      <c r="A66" s="157"/>
      <c r="B66" s="161"/>
      <c r="C66" s="161"/>
      <c r="D66" s="161"/>
      <c r="E66" s="161"/>
      <c r="F66" s="161"/>
      <c r="G66" s="161"/>
      <c r="H66" s="161"/>
      <c r="I66" s="161"/>
      <c r="J66" s="161"/>
      <c r="K66" s="161"/>
      <c r="L66" s="161"/>
      <c r="M66" s="161"/>
      <c r="N66" s="161"/>
    </row>
    <row r="67" spans="1:14" hidden="1" x14ac:dyDescent="0.25">
      <c r="A67" s="168"/>
      <c r="B67" s="169">
        <v>17899</v>
      </c>
      <c r="C67" s="169">
        <v>19868</v>
      </c>
      <c r="D67" s="169">
        <v>18875</v>
      </c>
      <c r="E67" s="169">
        <v>19269</v>
      </c>
      <c r="F67" s="169">
        <v>18826</v>
      </c>
      <c r="G67" s="169">
        <v>17052</v>
      </c>
      <c r="H67" s="169">
        <v>15797</v>
      </c>
      <c r="I67" s="169">
        <v>15679</v>
      </c>
      <c r="J67" s="169">
        <v>16478</v>
      </c>
      <c r="K67" s="169">
        <v>15881</v>
      </c>
      <c r="L67" s="169">
        <v>16148</v>
      </c>
      <c r="M67" s="169">
        <v>17233</v>
      </c>
      <c r="N67" s="170">
        <v>209005</v>
      </c>
    </row>
    <row r="68" spans="1:14" x14ac:dyDescent="0.25">
      <c r="A68" s="171" t="s">
        <v>55</v>
      </c>
      <c r="B68" s="173">
        <v>0.1613729184886</v>
      </c>
      <c r="C68" s="173">
        <v>0.17848287757379999</v>
      </c>
      <c r="D68" s="173">
        <v>0.1865100147232</v>
      </c>
      <c r="E68" s="173">
        <v>0.17491194945720001</v>
      </c>
      <c r="F68" s="173">
        <v>0.1764634203496</v>
      </c>
      <c r="G68" s="173">
        <v>0.15714101406270001</v>
      </c>
      <c r="H68" s="173">
        <v>0.1516055970364</v>
      </c>
      <c r="I68" s="173">
        <v>0.14721651033300001</v>
      </c>
      <c r="J68" s="173">
        <v>0.15441272935139999</v>
      </c>
      <c r="K68" s="173">
        <v>0.15498648345320001</v>
      </c>
      <c r="L68" s="173">
        <v>0.15213295146219999</v>
      </c>
      <c r="M68" s="173">
        <v>0.14899190759440001</v>
      </c>
      <c r="N68" s="174">
        <v>0.16195823747159999</v>
      </c>
    </row>
    <row r="69" spans="1:14" ht="30" hidden="1" x14ac:dyDescent="0.25">
      <c r="A69" s="157" t="s">
        <v>455</v>
      </c>
      <c r="B69" s="160">
        <f t="shared" ref="B69:N69" si="14">B40+B48</f>
        <v>83064</v>
      </c>
      <c r="C69" s="160">
        <f t="shared" si="14"/>
        <v>81417</v>
      </c>
      <c r="D69" s="160">
        <f t="shared" si="14"/>
        <v>73538</v>
      </c>
      <c r="E69" s="160">
        <f t="shared" si="14"/>
        <v>81308</v>
      </c>
      <c r="F69" s="160">
        <f t="shared" si="14"/>
        <v>78128</v>
      </c>
      <c r="G69" s="160">
        <f t="shared" si="14"/>
        <v>81609</v>
      </c>
      <c r="H69" s="160">
        <f t="shared" si="14"/>
        <v>79081</v>
      </c>
      <c r="I69" s="160">
        <f t="shared" si="14"/>
        <v>81228</v>
      </c>
      <c r="J69" s="160">
        <f t="shared" si="14"/>
        <v>80408</v>
      </c>
      <c r="K69" s="160">
        <f t="shared" si="14"/>
        <v>77182</v>
      </c>
      <c r="L69" s="160">
        <f t="shared" si="14"/>
        <v>80397</v>
      </c>
      <c r="M69" s="160">
        <f t="shared" si="14"/>
        <v>87665</v>
      </c>
      <c r="N69" s="160">
        <f t="shared" si="14"/>
        <v>965025</v>
      </c>
    </row>
    <row r="70" spans="1:14" ht="30" x14ac:dyDescent="0.25">
      <c r="A70" s="157" t="s">
        <v>456</v>
      </c>
      <c r="B70" s="160">
        <f t="shared" ref="B70:N70" si="15">B44+B46</f>
        <v>17899</v>
      </c>
      <c r="C70" s="160">
        <f t="shared" si="15"/>
        <v>19868</v>
      </c>
      <c r="D70" s="160">
        <f t="shared" si="15"/>
        <v>18875</v>
      </c>
      <c r="E70" s="160">
        <f t="shared" si="15"/>
        <v>19269</v>
      </c>
      <c r="F70" s="160">
        <f t="shared" si="15"/>
        <v>18826</v>
      </c>
      <c r="G70" s="160">
        <f t="shared" si="15"/>
        <v>17052</v>
      </c>
      <c r="H70" s="160">
        <f t="shared" si="15"/>
        <v>15797</v>
      </c>
      <c r="I70" s="160">
        <f t="shared" si="15"/>
        <v>15679</v>
      </c>
      <c r="J70" s="160">
        <f t="shared" si="15"/>
        <v>16478</v>
      </c>
      <c r="K70" s="160">
        <f t="shared" si="15"/>
        <v>15881</v>
      </c>
      <c r="L70" s="160">
        <f t="shared" si="15"/>
        <v>16148</v>
      </c>
      <c r="M70" s="160">
        <f t="shared" si="15"/>
        <v>17233</v>
      </c>
      <c r="N70" s="160">
        <f t="shared" si="15"/>
        <v>209005</v>
      </c>
    </row>
    <row r="71" spans="1:14" x14ac:dyDescent="0.25">
      <c r="A71" s="157"/>
      <c r="B71" s="161"/>
      <c r="C71" s="161"/>
      <c r="D71" s="161"/>
      <c r="E71" s="161"/>
      <c r="F71" s="161"/>
      <c r="G71" s="161"/>
      <c r="H71" s="161"/>
      <c r="I71" s="161"/>
      <c r="J71" s="161"/>
      <c r="K71" s="161"/>
      <c r="L71" s="161"/>
      <c r="M71" s="161"/>
      <c r="N71" s="161"/>
    </row>
    <row r="72" spans="1:14" x14ac:dyDescent="0.25">
      <c r="A72" s="157" t="s">
        <v>56</v>
      </c>
      <c r="B72" s="161"/>
      <c r="C72" s="161"/>
      <c r="D72" s="161"/>
      <c r="E72" s="161"/>
      <c r="F72" s="161"/>
      <c r="G72" s="161"/>
      <c r="H72" s="161"/>
      <c r="I72" s="161"/>
      <c r="J72" s="161"/>
      <c r="K72" s="161"/>
      <c r="L72" s="161"/>
      <c r="M72" s="161"/>
      <c r="N72" s="161"/>
    </row>
    <row r="73" spans="1:14" x14ac:dyDescent="0.25">
      <c r="A73" s="157"/>
      <c r="B73" s="161"/>
      <c r="C73" s="161"/>
      <c r="D73" s="161"/>
      <c r="E73" s="161"/>
      <c r="F73" s="161"/>
      <c r="G73" s="161"/>
      <c r="H73" s="161"/>
      <c r="I73" s="161"/>
      <c r="J73" s="161"/>
      <c r="K73" s="161"/>
      <c r="L73" s="161"/>
      <c r="M73" s="161"/>
      <c r="N73" s="161"/>
    </row>
    <row r="74" spans="1:14" x14ac:dyDescent="0.25">
      <c r="A74" s="163" t="s">
        <v>457</v>
      </c>
      <c r="B74" s="160">
        <v>13330001.25</v>
      </c>
      <c r="C74" s="160">
        <v>17399420.100000001</v>
      </c>
      <c r="D74" s="160">
        <v>15649970.369999999</v>
      </c>
      <c r="E74" s="160">
        <v>17441270.18</v>
      </c>
      <c r="F74" s="160">
        <v>16930688.780000001</v>
      </c>
      <c r="G74" s="160">
        <v>18296215.649999999</v>
      </c>
      <c r="H74" s="160">
        <v>18430475.25</v>
      </c>
      <c r="I74" s="160">
        <v>19475096.960000001</v>
      </c>
      <c r="J74" s="160">
        <v>19528124.870000001</v>
      </c>
      <c r="K74" s="160">
        <v>18812725.539999999</v>
      </c>
      <c r="L74" s="160">
        <v>20223219.120000001</v>
      </c>
      <c r="M74" s="160">
        <v>21940732.41</v>
      </c>
      <c r="N74" s="160">
        <v>217457940.47999999</v>
      </c>
    </row>
    <row r="75" spans="1:14" x14ac:dyDescent="0.25">
      <c r="A75" s="163" t="s">
        <v>458</v>
      </c>
      <c r="B75" s="160">
        <v>-1349919.63</v>
      </c>
      <c r="C75" s="160">
        <v>-5696553.21</v>
      </c>
      <c r="D75" s="160">
        <v>-5107146.95</v>
      </c>
      <c r="E75" s="160">
        <v>-5729787.3899999997</v>
      </c>
      <c r="F75" s="160">
        <v>-5666515.5800000001</v>
      </c>
      <c r="G75" s="160">
        <v>-6458463.5700000003</v>
      </c>
      <c r="H75" s="160">
        <v>-6942740.9400000004</v>
      </c>
      <c r="I75" s="160">
        <v>-7403656.0999999996</v>
      </c>
      <c r="J75" s="160">
        <v>-7493774.8899999997</v>
      </c>
      <c r="K75" s="160">
        <v>-7165605.9000000004</v>
      </c>
      <c r="L75" s="160">
        <v>-7993759.2400000002</v>
      </c>
      <c r="M75" s="160">
        <v>-8910537.4499999993</v>
      </c>
      <c r="N75" s="160">
        <v>-75918460.849999994</v>
      </c>
    </row>
    <row r="76" spans="1:14" x14ac:dyDescent="0.25">
      <c r="A76" s="163"/>
      <c r="B76" s="161"/>
      <c r="C76" s="161"/>
      <c r="D76" s="161"/>
      <c r="E76" s="161"/>
      <c r="F76" s="161"/>
      <c r="G76" s="161"/>
      <c r="H76" s="161"/>
      <c r="I76" s="161"/>
      <c r="J76" s="161"/>
      <c r="K76" s="161"/>
      <c r="L76" s="161"/>
      <c r="M76" s="161"/>
      <c r="N76" s="161"/>
    </row>
    <row r="77" spans="1:14" x14ac:dyDescent="0.25">
      <c r="A77" s="157" t="s">
        <v>57</v>
      </c>
      <c r="B77" s="160">
        <f t="shared" ref="B77:N77" si="16">SUM(B74:B76)</f>
        <v>11980081.620000001</v>
      </c>
      <c r="C77" s="160">
        <f t="shared" si="16"/>
        <v>11702866.890000001</v>
      </c>
      <c r="D77" s="160">
        <f t="shared" si="16"/>
        <v>10542823.419999998</v>
      </c>
      <c r="E77" s="160">
        <f t="shared" si="16"/>
        <v>11711482.789999999</v>
      </c>
      <c r="F77" s="160">
        <f t="shared" si="16"/>
        <v>11264173.200000001</v>
      </c>
      <c r="G77" s="160">
        <f t="shared" si="16"/>
        <v>11837752.079999998</v>
      </c>
      <c r="H77" s="160">
        <f t="shared" si="16"/>
        <v>11487734.309999999</v>
      </c>
      <c r="I77" s="160">
        <f t="shared" si="16"/>
        <v>12071440.860000001</v>
      </c>
      <c r="J77" s="160">
        <f t="shared" si="16"/>
        <v>12034349.98</v>
      </c>
      <c r="K77" s="160">
        <f t="shared" si="16"/>
        <v>11647119.639999999</v>
      </c>
      <c r="L77" s="160">
        <f t="shared" si="16"/>
        <v>12229459.880000001</v>
      </c>
      <c r="M77" s="160">
        <f t="shared" si="16"/>
        <v>13030194.960000001</v>
      </c>
      <c r="N77" s="160">
        <f t="shared" si="16"/>
        <v>141539479.63</v>
      </c>
    </row>
    <row r="78" spans="1:14" x14ac:dyDescent="0.25">
      <c r="A78" s="157" t="s">
        <v>58</v>
      </c>
      <c r="B78" s="160">
        <v>43437.53</v>
      </c>
      <c r="C78" s="160">
        <v>42254.54</v>
      </c>
      <c r="D78" s="160">
        <v>39972.89</v>
      </c>
      <c r="E78" s="160">
        <v>35528.53</v>
      </c>
      <c r="F78" s="160">
        <v>43324.88</v>
      </c>
      <c r="G78" s="160">
        <v>60536.22</v>
      </c>
      <c r="H78" s="160">
        <v>59215.76</v>
      </c>
      <c r="I78" s="160">
        <v>71788.05</v>
      </c>
      <c r="J78" s="160">
        <v>70067.210000000006</v>
      </c>
      <c r="K78" s="160">
        <v>71245.78</v>
      </c>
      <c r="L78" s="160">
        <v>82787.56</v>
      </c>
      <c r="M78" s="160">
        <v>111500.31</v>
      </c>
      <c r="N78" s="160">
        <v>731659.26</v>
      </c>
    </row>
    <row r="79" spans="1:14" x14ac:dyDescent="0.25">
      <c r="A79" s="157" t="s">
        <v>59</v>
      </c>
      <c r="B79" s="160">
        <v>47739.55</v>
      </c>
      <c r="C79" s="160">
        <v>45189.58</v>
      </c>
      <c r="D79" s="160">
        <v>44917</v>
      </c>
      <c r="E79" s="160">
        <v>44917</v>
      </c>
      <c r="F79" s="160">
        <v>47766.83</v>
      </c>
      <c r="G79" s="160">
        <v>31288.92</v>
      </c>
      <c r="H79" s="160">
        <v>36837.160000000003</v>
      </c>
      <c r="I79" s="160">
        <v>32938.800000000003</v>
      </c>
      <c r="J79" s="160">
        <v>34222.230000000003</v>
      </c>
      <c r="K79" s="160">
        <v>37099.269999999997</v>
      </c>
      <c r="L79" s="160">
        <v>38659.07</v>
      </c>
      <c r="M79" s="160">
        <v>38316.559999999998</v>
      </c>
      <c r="N79" s="160">
        <v>479891.97</v>
      </c>
    </row>
    <row r="80" spans="1:14" x14ac:dyDescent="0.25">
      <c r="A80" s="157" t="s">
        <v>459</v>
      </c>
      <c r="B80" s="160">
        <v>6137088.4299999997</v>
      </c>
      <c r="C80" s="160">
        <v>6426787.29</v>
      </c>
      <c r="D80" s="160">
        <v>6333743.0199999996</v>
      </c>
      <c r="E80" s="160">
        <v>6380132.7599999998</v>
      </c>
      <c r="F80" s="160">
        <v>6063919.9199999999</v>
      </c>
      <c r="G80" s="160">
        <v>5349004.33</v>
      </c>
      <c r="H80" s="160">
        <v>5113297.3600000003</v>
      </c>
      <c r="I80" s="160">
        <v>5126386.75</v>
      </c>
      <c r="J80" s="160">
        <v>5208162.3600000003</v>
      </c>
      <c r="K80" s="160">
        <v>5078455.68</v>
      </c>
      <c r="L80" s="160">
        <v>5526022.0700000003</v>
      </c>
      <c r="M80" s="160">
        <v>5707345.7599999998</v>
      </c>
      <c r="N80" s="160">
        <v>68450345.730000004</v>
      </c>
    </row>
    <row r="81" spans="1:14" x14ac:dyDescent="0.25">
      <c r="A81" s="157" t="s">
        <v>460</v>
      </c>
      <c r="B81" s="160">
        <v>0</v>
      </c>
      <c r="C81" s="160">
        <v>0</v>
      </c>
      <c r="D81" s="160">
        <v>0</v>
      </c>
      <c r="E81" s="160">
        <v>2250.52</v>
      </c>
      <c r="F81" s="160">
        <v>0</v>
      </c>
      <c r="G81" s="160">
        <v>-344</v>
      </c>
      <c r="H81" s="160">
        <v>1846.44</v>
      </c>
      <c r="I81" s="160">
        <v>984.23</v>
      </c>
      <c r="J81" s="160">
        <v>6623.14</v>
      </c>
      <c r="K81" s="160">
        <v>2800.92</v>
      </c>
      <c r="L81" s="160">
        <v>-6237.74</v>
      </c>
      <c r="M81" s="160">
        <v>0</v>
      </c>
      <c r="N81" s="160">
        <v>7923.51</v>
      </c>
    </row>
    <row r="82" spans="1:14" x14ac:dyDescent="0.25">
      <c r="A82" s="157" t="s">
        <v>60</v>
      </c>
      <c r="B82" s="160">
        <f t="shared" ref="B82:N82" si="17">SUM(B80:B81)</f>
        <v>6137088.4299999997</v>
      </c>
      <c r="C82" s="160">
        <f t="shared" si="17"/>
        <v>6426787.29</v>
      </c>
      <c r="D82" s="160">
        <f t="shared" si="17"/>
        <v>6333743.0199999996</v>
      </c>
      <c r="E82" s="160">
        <f t="shared" si="17"/>
        <v>6382383.2799999993</v>
      </c>
      <c r="F82" s="160">
        <f t="shared" si="17"/>
        <v>6063919.9199999999</v>
      </c>
      <c r="G82" s="160">
        <f t="shared" si="17"/>
        <v>5348660.33</v>
      </c>
      <c r="H82" s="160">
        <f t="shared" si="17"/>
        <v>5115143.8000000007</v>
      </c>
      <c r="I82" s="160">
        <f t="shared" si="17"/>
        <v>5127370.9800000004</v>
      </c>
      <c r="J82" s="160">
        <f t="shared" si="17"/>
        <v>5214785.5</v>
      </c>
      <c r="K82" s="160">
        <f t="shared" si="17"/>
        <v>5081256.5999999996</v>
      </c>
      <c r="L82" s="160">
        <f t="shared" si="17"/>
        <v>5519784.3300000001</v>
      </c>
      <c r="M82" s="160">
        <f t="shared" si="17"/>
        <v>5707345.7599999998</v>
      </c>
      <c r="N82" s="160">
        <f t="shared" si="17"/>
        <v>68458269.24000001</v>
      </c>
    </row>
    <row r="83" spans="1:14" x14ac:dyDescent="0.25">
      <c r="A83" s="157" t="s">
        <v>461</v>
      </c>
      <c r="B83" s="160">
        <v>1478913.98</v>
      </c>
      <c r="C83" s="160">
        <v>1511141.88</v>
      </c>
      <c r="D83" s="160">
        <v>1118316.3899999999</v>
      </c>
      <c r="E83" s="160">
        <v>1476664.55</v>
      </c>
      <c r="F83" s="160">
        <v>1423881.59</v>
      </c>
      <c r="G83" s="160">
        <v>1582866.73</v>
      </c>
      <c r="H83" s="160">
        <v>1506242.12</v>
      </c>
      <c r="I83" s="160">
        <v>1585021.3</v>
      </c>
      <c r="J83" s="160">
        <v>1648576.55</v>
      </c>
      <c r="K83" s="160">
        <v>1453473.83</v>
      </c>
      <c r="L83" s="160">
        <v>1660951.35</v>
      </c>
      <c r="M83" s="160">
        <v>1584593.89</v>
      </c>
      <c r="N83" s="160">
        <v>18030644.16</v>
      </c>
    </row>
    <row r="84" spans="1:14" x14ac:dyDescent="0.25">
      <c r="A84" s="157" t="s">
        <v>462</v>
      </c>
      <c r="B84" s="160">
        <v>-28447.15</v>
      </c>
      <c r="C84" s="160">
        <v>-28656.78</v>
      </c>
      <c r="D84" s="160">
        <v>-20476.48</v>
      </c>
      <c r="E84" s="160">
        <v>-28040.080000000002</v>
      </c>
      <c r="F84" s="160">
        <v>-26798.09</v>
      </c>
      <c r="G84" s="160">
        <v>-29608.9</v>
      </c>
      <c r="H84" s="160">
        <v>-28979.75</v>
      </c>
      <c r="I84" s="160">
        <v>-30151.55</v>
      </c>
      <c r="J84" s="160">
        <v>-31240.02</v>
      </c>
      <c r="K84" s="160">
        <v>-27635.85</v>
      </c>
      <c r="L84" s="160">
        <v>-31675.03</v>
      </c>
      <c r="M84" s="160">
        <v>-30237.55</v>
      </c>
      <c r="N84" s="160">
        <v>-341947.23</v>
      </c>
    </row>
    <row r="85" spans="1:14" x14ac:dyDescent="0.25">
      <c r="A85" s="157" t="s">
        <v>463</v>
      </c>
      <c r="B85" s="160">
        <v>0</v>
      </c>
      <c r="C85" s="160">
        <v>0</v>
      </c>
      <c r="D85" s="160">
        <v>0</v>
      </c>
      <c r="E85" s="160">
        <v>-15.22</v>
      </c>
      <c r="F85" s="160">
        <v>0</v>
      </c>
      <c r="G85" s="160">
        <v>0</v>
      </c>
      <c r="H85" s="160">
        <v>0</v>
      </c>
      <c r="I85" s="160">
        <v>0</v>
      </c>
      <c r="J85" s="160">
        <v>-0.02</v>
      </c>
      <c r="K85" s="160">
        <v>0</v>
      </c>
      <c r="L85" s="160">
        <v>0</v>
      </c>
      <c r="M85" s="160">
        <v>-1133.3399999999999</v>
      </c>
      <c r="N85" s="160">
        <v>-1148.58</v>
      </c>
    </row>
    <row r="86" spans="1:14" x14ac:dyDescent="0.25">
      <c r="A86" s="157"/>
      <c r="B86" s="161"/>
      <c r="C86" s="161"/>
      <c r="D86" s="161"/>
      <c r="E86" s="161"/>
      <c r="F86" s="161"/>
      <c r="G86" s="161"/>
      <c r="H86" s="161"/>
      <c r="I86" s="161"/>
      <c r="J86" s="161"/>
      <c r="K86" s="161"/>
      <c r="L86" s="161"/>
      <c r="M86" s="161"/>
      <c r="N86" s="161"/>
    </row>
    <row r="87" spans="1:14" ht="30" x14ac:dyDescent="0.25">
      <c r="A87" s="157" t="s">
        <v>61</v>
      </c>
      <c r="B87" s="160">
        <f t="shared" ref="B87:N87" si="18">SUM(B83:B86)</f>
        <v>1450466.83</v>
      </c>
      <c r="C87" s="160">
        <f t="shared" si="18"/>
        <v>1482485.0999999999</v>
      </c>
      <c r="D87" s="160">
        <f t="shared" si="18"/>
        <v>1097839.9099999999</v>
      </c>
      <c r="E87" s="160">
        <f t="shared" si="18"/>
        <v>1448609.25</v>
      </c>
      <c r="F87" s="160">
        <f t="shared" si="18"/>
        <v>1397083.5</v>
      </c>
      <c r="G87" s="160">
        <f t="shared" si="18"/>
        <v>1553257.83</v>
      </c>
      <c r="H87" s="160">
        <f t="shared" si="18"/>
        <v>1477262.37</v>
      </c>
      <c r="I87" s="160">
        <f t="shared" si="18"/>
        <v>1554869.75</v>
      </c>
      <c r="J87" s="160">
        <f t="shared" si="18"/>
        <v>1617336.51</v>
      </c>
      <c r="K87" s="160">
        <f t="shared" si="18"/>
        <v>1425837.98</v>
      </c>
      <c r="L87" s="160">
        <f t="shared" si="18"/>
        <v>1629276.32</v>
      </c>
      <c r="M87" s="160">
        <f t="shared" si="18"/>
        <v>1553222.9999999998</v>
      </c>
      <c r="N87" s="160">
        <f t="shared" si="18"/>
        <v>17687548.350000001</v>
      </c>
    </row>
    <row r="88" spans="1:14" x14ac:dyDescent="0.25">
      <c r="A88" s="157" t="s">
        <v>62</v>
      </c>
      <c r="B88" s="160">
        <v>1910207.88</v>
      </c>
      <c r="C88" s="160">
        <v>1954482.26</v>
      </c>
      <c r="D88" s="160">
        <v>1815623.33</v>
      </c>
      <c r="E88" s="160">
        <v>1982215.29</v>
      </c>
      <c r="F88" s="160">
        <v>1946725.7</v>
      </c>
      <c r="G88" s="160">
        <v>1938573.73</v>
      </c>
      <c r="H88" s="160">
        <v>1852484.79</v>
      </c>
      <c r="I88" s="160">
        <v>1861815.97</v>
      </c>
      <c r="J88" s="160">
        <v>1805165.6</v>
      </c>
      <c r="K88" s="160">
        <v>1666386.53</v>
      </c>
      <c r="L88" s="160">
        <v>1769685.08</v>
      </c>
      <c r="M88" s="160">
        <v>1896002.87</v>
      </c>
      <c r="N88" s="160">
        <v>22399369.030000001</v>
      </c>
    </row>
    <row r="89" spans="1:14" x14ac:dyDescent="0.25">
      <c r="A89" s="157" t="s">
        <v>63</v>
      </c>
      <c r="B89" s="160">
        <v>378826</v>
      </c>
      <c r="C89" s="160">
        <v>375150.03</v>
      </c>
      <c r="D89" s="160">
        <v>360816.04</v>
      </c>
      <c r="E89" s="160">
        <v>347594.76</v>
      </c>
      <c r="F89" s="160">
        <v>350963.62</v>
      </c>
      <c r="G89" s="160">
        <v>334348.45</v>
      </c>
      <c r="H89" s="160">
        <v>323762.34999999998</v>
      </c>
      <c r="I89" s="160">
        <v>318624.45</v>
      </c>
      <c r="J89" s="160">
        <v>322410.12</v>
      </c>
      <c r="K89" s="160">
        <v>322936.45</v>
      </c>
      <c r="L89" s="160">
        <v>318445</v>
      </c>
      <c r="M89" s="160">
        <v>369118.78</v>
      </c>
      <c r="N89" s="160">
        <v>4122996.05</v>
      </c>
    </row>
    <row r="90" spans="1:14" x14ac:dyDescent="0.25">
      <c r="A90" s="157" t="s">
        <v>64</v>
      </c>
      <c r="B90" s="160">
        <v>803237.77</v>
      </c>
      <c r="C90" s="160">
        <v>791174.32</v>
      </c>
      <c r="D90" s="160">
        <v>742283.84</v>
      </c>
      <c r="E90" s="160">
        <v>821120.18</v>
      </c>
      <c r="F90" s="160">
        <v>842191.5</v>
      </c>
      <c r="G90" s="160">
        <v>855167.12</v>
      </c>
      <c r="H90" s="160">
        <v>830477.46</v>
      </c>
      <c r="I90" s="160">
        <v>893684.32</v>
      </c>
      <c r="J90" s="160">
        <v>926737.88</v>
      </c>
      <c r="K90" s="160">
        <v>868434.43</v>
      </c>
      <c r="L90" s="160">
        <v>901524.2</v>
      </c>
      <c r="M90" s="160">
        <v>975436.22</v>
      </c>
      <c r="N90" s="160">
        <v>10251469.24</v>
      </c>
    </row>
    <row r="91" spans="1:14" x14ac:dyDescent="0.25">
      <c r="A91" s="157" t="s">
        <v>65</v>
      </c>
      <c r="B91" s="160">
        <v>2612392.2200000002</v>
      </c>
      <c r="C91" s="160">
        <v>3199532.2</v>
      </c>
      <c r="D91" s="160">
        <v>2835684.91</v>
      </c>
      <c r="E91" s="160">
        <v>2819899.95</v>
      </c>
      <c r="F91" s="160">
        <v>2922578.05</v>
      </c>
      <c r="G91" s="160">
        <v>2761923.75</v>
      </c>
      <c r="H91" s="160">
        <v>2453076.81</v>
      </c>
      <c r="I91" s="160">
        <v>2502849.85</v>
      </c>
      <c r="J91" s="160">
        <v>2710511.76</v>
      </c>
      <c r="K91" s="160">
        <v>2547291.7000000002</v>
      </c>
      <c r="L91" s="160">
        <v>2681894.27</v>
      </c>
      <c r="M91" s="160">
        <v>2960934.84</v>
      </c>
      <c r="N91" s="160">
        <v>33008570.309999999</v>
      </c>
    </row>
    <row r="92" spans="1:14" x14ac:dyDescent="0.25">
      <c r="A92" s="157" t="s">
        <v>66</v>
      </c>
      <c r="B92" s="160">
        <v>331887.86</v>
      </c>
      <c r="C92" s="160">
        <v>448599.9</v>
      </c>
      <c r="D92" s="160">
        <v>427456.56</v>
      </c>
      <c r="E92" s="160">
        <v>424708.8</v>
      </c>
      <c r="F92" s="160">
        <v>401157.55</v>
      </c>
      <c r="G92" s="160">
        <v>465633.33</v>
      </c>
      <c r="H92" s="160">
        <v>387975.5</v>
      </c>
      <c r="I92" s="160">
        <v>433845.48</v>
      </c>
      <c r="J92" s="160">
        <v>376075.16</v>
      </c>
      <c r="K92" s="160">
        <v>305687.63</v>
      </c>
      <c r="L92" s="160">
        <v>351646.19</v>
      </c>
      <c r="M92" s="160">
        <v>319306.31</v>
      </c>
      <c r="N92" s="160">
        <v>4673980.2699999996</v>
      </c>
    </row>
    <row r="93" spans="1:14" x14ac:dyDescent="0.25">
      <c r="A93" s="157" t="s">
        <v>67</v>
      </c>
      <c r="B93" s="160">
        <v>-3570.31</v>
      </c>
      <c r="C93" s="160">
        <v>-4277.87</v>
      </c>
      <c r="D93" s="160">
        <v>-5851.1</v>
      </c>
      <c r="E93" s="160">
        <v>-3920.64</v>
      </c>
      <c r="F93" s="160">
        <v>-3431.11</v>
      </c>
      <c r="G93" s="160">
        <v>-8541.25</v>
      </c>
      <c r="H93" s="160">
        <v>-7291.41</v>
      </c>
      <c r="I93" s="160">
        <v>-8047.76</v>
      </c>
      <c r="J93" s="160">
        <v>-6895.19</v>
      </c>
      <c r="K93" s="160">
        <v>-5691.5</v>
      </c>
      <c r="L93" s="160">
        <v>-6608.31</v>
      </c>
      <c r="M93" s="160">
        <v>-5970.71</v>
      </c>
      <c r="N93" s="160">
        <v>-70097.16</v>
      </c>
    </row>
    <row r="94" spans="1:14" x14ac:dyDescent="0.25">
      <c r="A94" s="157" t="s">
        <v>68</v>
      </c>
      <c r="B94" s="160">
        <v>14750.95</v>
      </c>
      <c r="C94" s="160">
        <v>19828.32</v>
      </c>
      <c r="D94" s="160">
        <v>12000.51</v>
      </c>
      <c r="E94" s="160">
        <v>8405.9</v>
      </c>
      <c r="F94" s="160">
        <v>11532.08</v>
      </c>
      <c r="G94" s="160">
        <v>13244.37</v>
      </c>
      <c r="H94" s="160">
        <v>10547.15</v>
      </c>
      <c r="I94" s="160">
        <v>12688.71</v>
      </c>
      <c r="J94" s="160">
        <v>11722.37</v>
      </c>
      <c r="K94" s="160">
        <v>11916.65</v>
      </c>
      <c r="L94" s="160">
        <v>9263.11</v>
      </c>
      <c r="M94" s="160">
        <v>7383.25</v>
      </c>
      <c r="N94" s="160">
        <v>143283.37</v>
      </c>
    </row>
    <row r="95" spans="1:14" ht="30" x14ac:dyDescent="0.25">
      <c r="A95" s="157" t="s">
        <v>69</v>
      </c>
      <c r="B95" s="160">
        <v>-447667.86</v>
      </c>
      <c r="C95" s="160">
        <v>49505.88</v>
      </c>
      <c r="D95" s="160">
        <v>2362.41</v>
      </c>
      <c r="E95" s="160">
        <v>-120585.46</v>
      </c>
      <c r="F95" s="160">
        <v>-143675.25</v>
      </c>
      <c r="G95" s="160">
        <v>180481.48</v>
      </c>
      <c r="H95" s="160">
        <v>-209143.95</v>
      </c>
      <c r="I95" s="160">
        <v>-319433.38</v>
      </c>
      <c r="J95" s="160">
        <v>-187536.21</v>
      </c>
      <c r="K95" s="160">
        <v>-65608</v>
      </c>
      <c r="L95" s="160">
        <v>-309504.86</v>
      </c>
      <c r="M95" s="160">
        <v>-402456.62</v>
      </c>
      <c r="N95" s="160">
        <v>-1973261.82</v>
      </c>
    </row>
    <row r="96" spans="1:14" ht="30" x14ac:dyDescent="0.25">
      <c r="A96" s="157" t="s">
        <v>70</v>
      </c>
      <c r="B96" s="160">
        <v>-30613.03</v>
      </c>
      <c r="C96" s="160">
        <v>-150420.79999999999</v>
      </c>
      <c r="D96" s="160">
        <v>-226416.37</v>
      </c>
      <c r="E96" s="160">
        <v>-234717.82</v>
      </c>
      <c r="F96" s="160">
        <v>-854465.01</v>
      </c>
      <c r="G96" s="160">
        <v>-475766.84</v>
      </c>
      <c r="H96" s="160">
        <v>-154042.53</v>
      </c>
      <c r="I96" s="160">
        <v>-153454.53</v>
      </c>
      <c r="J96" s="160">
        <v>-90986.5</v>
      </c>
      <c r="K96" s="160">
        <v>-58228.800000000003</v>
      </c>
      <c r="L96" s="160">
        <v>-39554.01</v>
      </c>
      <c r="M96" s="160">
        <v>-45169.84</v>
      </c>
      <c r="N96" s="160">
        <v>-2513836.08</v>
      </c>
    </row>
    <row r="97" spans="1:14" ht="30" x14ac:dyDescent="0.25">
      <c r="A97" s="157" t="s">
        <v>71</v>
      </c>
      <c r="B97" s="160">
        <v>-17206.88</v>
      </c>
      <c r="C97" s="160">
        <v>-53873.599999999999</v>
      </c>
      <c r="D97" s="160">
        <v>-56917.599999999999</v>
      </c>
      <c r="E97" s="160">
        <v>-100413.49</v>
      </c>
      <c r="F97" s="160">
        <v>-51498.7</v>
      </c>
      <c r="G97" s="160">
        <v>-143254.93</v>
      </c>
      <c r="H97" s="160">
        <v>-134446.79999999999</v>
      </c>
      <c r="I97" s="160">
        <v>-34073.78</v>
      </c>
      <c r="J97" s="160">
        <v>-113139.1</v>
      </c>
      <c r="K97" s="160">
        <v>-15352</v>
      </c>
      <c r="L97" s="160">
        <v>-27961</v>
      </c>
      <c r="M97" s="160">
        <v>-242095.17</v>
      </c>
      <c r="N97" s="160">
        <v>-990233.05</v>
      </c>
    </row>
    <row r="98" spans="1:14" ht="30" x14ac:dyDescent="0.25">
      <c r="A98" s="157" t="s">
        <v>72</v>
      </c>
      <c r="B98" s="160">
        <v>2977.5</v>
      </c>
      <c r="C98" s="160">
        <v>-80757.5</v>
      </c>
      <c r="D98" s="160">
        <v>-58144.28</v>
      </c>
      <c r="E98" s="160">
        <v>-23937.58</v>
      </c>
      <c r="F98" s="160">
        <v>10351.799999999999</v>
      </c>
      <c r="G98" s="160">
        <v>-60961.61</v>
      </c>
      <c r="H98" s="160">
        <v>12465.3</v>
      </c>
      <c r="I98" s="160">
        <v>-25608.22</v>
      </c>
      <c r="J98" s="160">
        <v>10425.09</v>
      </c>
      <c r="K98" s="160">
        <v>39316.19</v>
      </c>
      <c r="L98" s="160">
        <v>-13072.53</v>
      </c>
      <c r="M98" s="160">
        <v>6450.14</v>
      </c>
      <c r="N98" s="160">
        <v>-180495.7</v>
      </c>
    </row>
    <row r="99" spans="1:14" ht="30" x14ac:dyDescent="0.25">
      <c r="A99" s="157" t="s">
        <v>73</v>
      </c>
      <c r="B99" s="160">
        <v>306150.57</v>
      </c>
      <c r="C99" s="160">
        <v>-59955.78</v>
      </c>
      <c r="D99" s="160">
        <v>2192.5</v>
      </c>
      <c r="E99" s="160">
        <v>84101.05</v>
      </c>
      <c r="F99" s="160">
        <v>137806.68</v>
      </c>
      <c r="G99" s="160">
        <v>-126367.3</v>
      </c>
      <c r="H99" s="160">
        <v>199961.82</v>
      </c>
      <c r="I99" s="160">
        <v>309542.74</v>
      </c>
      <c r="J99" s="160">
        <v>206914</v>
      </c>
      <c r="K99" s="160">
        <v>85834.2</v>
      </c>
      <c r="L99" s="160">
        <v>270927.61</v>
      </c>
      <c r="M99" s="160">
        <v>318028.55</v>
      </c>
      <c r="N99" s="160">
        <v>1735136.64</v>
      </c>
    </row>
    <row r="100" spans="1:14" ht="30" x14ac:dyDescent="0.25">
      <c r="A100" s="157" t="s">
        <v>74</v>
      </c>
      <c r="B100" s="160">
        <v>28620.06</v>
      </c>
      <c r="C100" s="160">
        <v>72782.649999999994</v>
      </c>
      <c r="D100" s="160">
        <v>156736.88</v>
      </c>
      <c r="E100" s="160">
        <v>265187.13</v>
      </c>
      <c r="F100" s="160">
        <v>895951.39</v>
      </c>
      <c r="G100" s="160">
        <v>304057.51</v>
      </c>
      <c r="H100" s="160">
        <v>77575.67</v>
      </c>
      <c r="I100" s="160">
        <v>177944.1</v>
      </c>
      <c r="J100" s="160">
        <v>49936.02</v>
      </c>
      <c r="K100" s="160">
        <v>103826.54</v>
      </c>
      <c r="L100" s="160">
        <v>54724.85</v>
      </c>
      <c r="M100" s="160">
        <v>31795.08</v>
      </c>
      <c r="N100" s="160">
        <v>2219137.88</v>
      </c>
    </row>
    <row r="101" spans="1:14" x14ac:dyDescent="0.25">
      <c r="A101" s="157" t="s">
        <v>75</v>
      </c>
      <c r="B101" s="160">
        <v>70731.600000000006</v>
      </c>
      <c r="C101" s="160">
        <v>0</v>
      </c>
      <c r="D101" s="160">
        <v>7398.19</v>
      </c>
      <c r="E101" s="160">
        <v>42224.37</v>
      </c>
      <c r="F101" s="160">
        <v>43131.94</v>
      </c>
      <c r="G101" s="160">
        <v>-16846.62</v>
      </c>
      <c r="H101" s="160">
        <v>-59469.99</v>
      </c>
      <c r="I101" s="160">
        <v>-91513.97</v>
      </c>
      <c r="J101" s="160">
        <v>-17864.57</v>
      </c>
      <c r="K101" s="160">
        <v>-8167.1</v>
      </c>
      <c r="L101" s="160">
        <v>30626.21</v>
      </c>
      <c r="M101" s="160">
        <v>-71144.87</v>
      </c>
      <c r="N101" s="160">
        <v>-70894.81</v>
      </c>
    </row>
    <row r="102" spans="1:14" x14ac:dyDescent="0.25">
      <c r="A102" s="157" t="s">
        <v>76</v>
      </c>
      <c r="B102" s="160">
        <v>13946.01</v>
      </c>
      <c r="C102" s="160">
        <v>20758.189999999999</v>
      </c>
      <c r="D102" s="160">
        <v>32861.96</v>
      </c>
      <c r="E102" s="160">
        <v>1300.48</v>
      </c>
      <c r="F102" s="160">
        <v>-5741.82</v>
      </c>
      <c r="G102" s="160">
        <v>-4735.91</v>
      </c>
      <c r="H102" s="160">
        <v>-2132.89</v>
      </c>
      <c r="I102" s="160">
        <v>-17994</v>
      </c>
      <c r="J102" s="160">
        <v>12211.81</v>
      </c>
      <c r="K102" s="160">
        <v>-8644.4699999999993</v>
      </c>
      <c r="L102" s="160">
        <v>-5074.34</v>
      </c>
      <c r="M102" s="160">
        <v>25900.34</v>
      </c>
      <c r="N102" s="160">
        <v>62655.360000000001</v>
      </c>
    </row>
    <row r="103" spans="1:14" ht="30" x14ac:dyDescent="0.25">
      <c r="A103" s="157" t="s">
        <v>77</v>
      </c>
      <c r="B103" s="160">
        <v>70480.789999999994</v>
      </c>
      <c r="C103" s="160">
        <v>0</v>
      </c>
      <c r="D103" s="160">
        <v>63845</v>
      </c>
      <c r="E103" s="160">
        <v>38499.72</v>
      </c>
      <c r="F103" s="160">
        <v>43295.77</v>
      </c>
      <c r="G103" s="160">
        <v>6814.68</v>
      </c>
      <c r="H103" s="160">
        <v>33043.5</v>
      </c>
      <c r="I103" s="160">
        <v>35007.629999999997</v>
      </c>
      <c r="J103" s="160">
        <v>64701.18</v>
      </c>
      <c r="K103" s="160">
        <v>-24282.32</v>
      </c>
      <c r="L103" s="160">
        <v>53788.65</v>
      </c>
      <c r="M103" s="160">
        <v>74335.61</v>
      </c>
      <c r="N103" s="160">
        <v>459530.21</v>
      </c>
    </row>
    <row r="104" spans="1:14" ht="30" x14ac:dyDescent="0.25">
      <c r="A104" s="157" t="s">
        <v>78</v>
      </c>
      <c r="B104" s="160">
        <v>-19216.82</v>
      </c>
      <c r="C104" s="160">
        <v>114402.81</v>
      </c>
      <c r="D104" s="160">
        <v>63817.52</v>
      </c>
      <c r="E104" s="160">
        <v>-16205.89</v>
      </c>
      <c r="F104" s="160">
        <v>45598.64</v>
      </c>
      <c r="G104" s="160">
        <v>-2782.87</v>
      </c>
      <c r="H104" s="160">
        <v>-16803.39</v>
      </c>
      <c r="I104" s="160">
        <v>6173.37</v>
      </c>
      <c r="J104" s="160">
        <v>49587.76</v>
      </c>
      <c r="K104" s="160">
        <v>-9785.16</v>
      </c>
      <c r="L104" s="160">
        <v>-2925.24</v>
      </c>
      <c r="M104" s="160">
        <v>-10163.49</v>
      </c>
      <c r="N104" s="160">
        <v>201697.24</v>
      </c>
    </row>
    <row r="105" spans="1:14" ht="30" x14ac:dyDescent="0.25">
      <c r="A105" s="157" t="s">
        <v>79</v>
      </c>
      <c r="B105" s="160">
        <v>-114.21</v>
      </c>
      <c r="C105" s="160">
        <v>1092.6199999999999</v>
      </c>
      <c r="D105" s="160">
        <v>61.92</v>
      </c>
      <c r="E105" s="160">
        <v>292.74</v>
      </c>
      <c r="F105" s="160">
        <v>-110.04</v>
      </c>
      <c r="G105" s="160">
        <v>-2066.5</v>
      </c>
      <c r="H105" s="160">
        <v>-1580.98</v>
      </c>
      <c r="I105" s="160">
        <v>-1151.67</v>
      </c>
      <c r="J105" s="160">
        <v>-1559.1</v>
      </c>
      <c r="K105" s="160">
        <v>-3711.66</v>
      </c>
      <c r="L105" s="160">
        <v>-217.34</v>
      </c>
      <c r="M105" s="160">
        <v>-6042.7</v>
      </c>
      <c r="N105" s="160">
        <v>-15106.92</v>
      </c>
    </row>
    <row r="106" spans="1:14" ht="30" x14ac:dyDescent="0.25">
      <c r="A106" s="157" t="s">
        <v>80</v>
      </c>
      <c r="B106" s="166">
        <v>0</v>
      </c>
      <c r="C106" s="166">
        <v>-657.72</v>
      </c>
      <c r="D106" s="166">
        <v>9987.7900000000009</v>
      </c>
      <c r="E106" s="166">
        <v>-120.2</v>
      </c>
      <c r="F106" s="166">
        <v>0</v>
      </c>
      <c r="G106" s="166">
        <v>0</v>
      </c>
      <c r="H106" s="166">
        <v>0</v>
      </c>
      <c r="I106" s="166">
        <v>0</v>
      </c>
      <c r="J106" s="166">
        <v>0</v>
      </c>
      <c r="K106" s="166">
        <v>0</v>
      </c>
      <c r="L106" s="166">
        <v>0</v>
      </c>
      <c r="M106" s="166">
        <v>0</v>
      </c>
      <c r="N106" s="166">
        <v>9209.8700000000008</v>
      </c>
    </row>
    <row r="107" spans="1:14" x14ac:dyDescent="0.25">
      <c r="A107" s="157" t="s">
        <v>81</v>
      </c>
      <c r="B107" s="160">
        <f t="shared" ref="B107:N107" si="19">SUM(B72:B106)-B77-B82-B87</f>
        <v>25684634.060000002</v>
      </c>
      <c r="C107" s="160">
        <f t="shared" si="19"/>
        <v>26396949.310000002</v>
      </c>
      <c r="D107" s="160">
        <f t="shared" si="19"/>
        <v>24245096.249999996</v>
      </c>
      <c r="E107" s="160">
        <f t="shared" si="19"/>
        <v>25958570.139999978</v>
      </c>
      <c r="F107" s="160">
        <f t="shared" si="19"/>
        <v>25408631.11999999</v>
      </c>
      <c r="G107" s="160">
        <f t="shared" si="19"/>
        <v>24850415.969999991</v>
      </c>
      <c r="H107" s="160">
        <f t="shared" si="19"/>
        <v>23772651.809999999</v>
      </c>
      <c r="I107" s="160">
        <f t="shared" si="19"/>
        <v>24759307.750000004</v>
      </c>
      <c r="J107" s="160">
        <f t="shared" si="19"/>
        <v>25099179.50999999</v>
      </c>
      <c r="K107" s="160">
        <f t="shared" si="19"/>
        <v>24014718.580000009</v>
      </c>
      <c r="L107" s="160">
        <f t="shared" si="19"/>
        <v>25537574.699999996</v>
      </c>
      <c r="M107" s="160">
        <f t="shared" si="19"/>
        <v>26642229.179999992</v>
      </c>
      <c r="N107" s="160">
        <f t="shared" si="19"/>
        <v>302369958.38</v>
      </c>
    </row>
    <row r="108" spans="1:14" x14ac:dyDescent="0.25">
      <c r="A108" s="157"/>
      <c r="B108" s="161"/>
      <c r="C108" s="161"/>
      <c r="D108" s="161"/>
      <c r="E108" s="161"/>
      <c r="F108" s="161"/>
      <c r="G108" s="161"/>
      <c r="H108" s="161"/>
      <c r="I108" s="161"/>
      <c r="J108" s="161"/>
      <c r="K108" s="161"/>
      <c r="L108" s="161"/>
      <c r="M108" s="161"/>
      <c r="N108" s="161"/>
    </row>
    <row r="109" spans="1:14" x14ac:dyDescent="0.25">
      <c r="A109" s="157" t="s">
        <v>82</v>
      </c>
      <c r="B109" s="160">
        <v>167</v>
      </c>
      <c r="C109" s="160">
        <v>191</v>
      </c>
      <c r="D109" s="160">
        <v>140</v>
      </c>
      <c r="E109" s="160">
        <v>233</v>
      </c>
      <c r="F109" s="160">
        <v>210</v>
      </c>
      <c r="G109" s="160">
        <v>50</v>
      </c>
      <c r="H109" s="160">
        <v>106</v>
      </c>
      <c r="I109" s="160">
        <v>14.46</v>
      </c>
      <c r="J109" s="160">
        <v>0</v>
      </c>
      <c r="K109" s="160">
        <v>0</v>
      </c>
      <c r="L109" s="160">
        <v>0</v>
      </c>
      <c r="M109" s="160">
        <v>2659.98</v>
      </c>
      <c r="N109" s="160">
        <v>3771.44</v>
      </c>
    </row>
    <row r="110" spans="1:14" x14ac:dyDescent="0.25">
      <c r="A110" s="157" t="s">
        <v>464</v>
      </c>
      <c r="B110" s="160">
        <v>0</v>
      </c>
      <c r="C110" s="160">
        <v>0</v>
      </c>
      <c r="D110" s="160">
        <v>0</v>
      </c>
      <c r="E110" s="160">
        <v>0</v>
      </c>
      <c r="F110" s="160">
        <v>0</v>
      </c>
      <c r="G110" s="160">
        <v>0</v>
      </c>
      <c r="H110" s="160">
        <v>0</v>
      </c>
      <c r="I110" s="160">
        <v>0</v>
      </c>
      <c r="J110" s="160">
        <v>0</v>
      </c>
      <c r="K110" s="160">
        <v>0</v>
      </c>
      <c r="L110" s="160">
        <v>0</v>
      </c>
      <c r="M110" s="160">
        <v>-86.01</v>
      </c>
      <c r="N110" s="160">
        <v>-86.01</v>
      </c>
    </row>
    <row r="111" spans="1:14" x14ac:dyDescent="0.25">
      <c r="A111" s="157" t="s">
        <v>203</v>
      </c>
      <c r="B111" s="160">
        <v>0</v>
      </c>
      <c r="C111" s="160">
        <v>0</v>
      </c>
      <c r="D111" s="160">
        <v>0</v>
      </c>
      <c r="E111" s="160">
        <v>0</v>
      </c>
      <c r="F111" s="160">
        <v>0</v>
      </c>
      <c r="G111" s="160">
        <v>0</v>
      </c>
      <c r="H111" s="160">
        <v>1411.48</v>
      </c>
      <c r="I111" s="160">
        <v>2315.4299999999998</v>
      </c>
      <c r="J111" s="160">
        <v>2401</v>
      </c>
      <c r="K111" s="160">
        <v>2595.5500000000002</v>
      </c>
      <c r="L111" s="160">
        <v>3311.72</v>
      </c>
      <c r="M111" s="160">
        <v>0</v>
      </c>
      <c r="N111" s="160">
        <v>12035.18</v>
      </c>
    </row>
    <row r="112" spans="1:14" x14ac:dyDescent="0.25">
      <c r="A112" s="157" t="s">
        <v>83</v>
      </c>
      <c r="B112" s="160">
        <v>515</v>
      </c>
      <c r="C112" s="160">
        <v>0</v>
      </c>
      <c r="D112" s="160">
        <v>500</v>
      </c>
      <c r="E112" s="160">
        <v>515</v>
      </c>
      <c r="F112" s="160">
        <v>515</v>
      </c>
      <c r="G112" s="160">
        <v>515</v>
      </c>
      <c r="H112" s="160">
        <v>515</v>
      </c>
      <c r="I112" s="160">
        <v>515</v>
      </c>
      <c r="J112" s="160">
        <v>515</v>
      </c>
      <c r="K112" s="160">
        <v>515</v>
      </c>
      <c r="L112" s="160">
        <v>515</v>
      </c>
      <c r="M112" s="160">
        <v>715</v>
      </c>
      <c r="N112" s="160">
        <v>5850</v>
      </c>
    </row>
    <row r="113" spans="1:14" x14ac:dyDescent="0.25">
      <c r="A113" s="157" t="s">
        <v>84</v>
      </c>
      <c r="B113" s="160">
        <v>21291.61</v>
      </c>
      <c r="C113" s="160">
        <v>10674.97</v>
      </c>
      <c r="D113" s="160">
        <v>14494.58</v>
      </c>
      <c r="E113" s="160">
        <v>8970.7800000000007</v>
      </c>
      <c r="F113" s="160">
        <v>6482.68</v>
      </c>
      <c r="G113" s="160">
        <v>10509</v>
      </c>
      <c r="H113" s="160">
        <v>-187.43</v>
      </c>
      <c r="I113" s="160">
        <v>5482.39</v>
      </c>
      <c r="J113" s="160">
        <v>-2209.73</v>
      </c>
      <c r="K113" s="160">
        <v>-1708.31</v>
      </c>
      <c r="L113" s="160">
        <v>5127.74</v>
      </c>
      <c r="M113" s="160">
        <v>-18565.16</v>
      </c>
      <c r="N113" s="160">
        <v>60363.12</v>
      </c>
    </row>
    <row r="114" spans="1:14" x14ac:dyDescent="0.25">
      <c r="A114" s="157" t="s">
        <v>85</v>
      </c>
      <c r="B114" s="160">
        <v>455</v>
      </c>
      <c r="C114" s="160">
        <v>890</v>
      </c>
      <c r="D114" s="160">
        <v>550</v>
      </c>
      <c r="E114" s="160">
        <v>877</v>
      </c>
      <c r="F114" s="160">
        <v>1202</v>
      </c>
      <c r="G114" s="160">
        <v>730</v>
      </c>
      <c r="H114" s="160">
        <v>359</v>
      </c>
      <c r="I114" s="160">
        <v>0</v>
      </c>
      <c r="J114" s="160">
        <v>0</v>
      </c>
      <c r="K114" s="160">
        <v>0</v>
      </c>
      <c r="L114" s="160">
        <v>0</v>
      </c>
      <c r="M114" s="160">
        <v>0</v>
      </c>
      <c r="N114" s="160">
        <v>5063</v>
      </c>
    </row>
    <row r="115" spans="1:14" x14ac:dyDescent="0.25">
      <c r="A115" s="157" t="s">
        <v>86</v>
      </c>
      <c r="B115" s="160">
        <v>1852.7</v>
      </c>
      <c r="C115" s="160">
        <v>3545.77</v>
      </c>
      <c r="D115" s="160">
        <v>3167.87</v>
      </c>
      <c r="E115" s="160">
        <v>1985.18</v>
      </c>
      <c r="F115" s="160">
        <v>499.54</v>
      </c>
      <c r="G115" s="160">
        <v>2525.38</v>
      </c>
      <c r="H115" s="160">
        <v>2107.4299999999998</v>
      </c>
      <c r="I115" s="160">
        <v>3545.55</v>
      </c>
      <c r="J115" s="160">
        <v>2091.94</v>
      </c>
      <c r="K115" s="160">
        <v>430.43</v>
      </c>
      <c r="L115" s="160">
        <v>2550.9499999999998</v>
      </c>
      <c r="M115" s="160">
        <v>150.08000000000001</v>
      </c>
      <c r="N115" s="160">
        <v>24452.82</v>
      </c>
    </row>
    <row r="116" spans="1:14" x14ac:dyDescent="0.25">
      <c r="A116" s="157" t="s">
        <v>87</v>
      </c>
      <c r="B116" s="160">
        <v>0</v>
      </c>
      <c r="C116" s="160">
        <v>0</v>
      </c>
      <c r="D116" s="160">
        <v>4121.04</v>
      </c>
      <c r="E116" s="160">
        <v>13316.64</v>
      </c>
      <c r="F116" s="160">
        <v>60.76</v>
      </c>
      <c r="G116" s="160">
        <v>4650</v>
      </c>
      <c r="H116" s="160">
        <v>0</v>
      </c>
      <c r="I116" s="160">
        <v>49.67</v>
      </c>
      <c r="J116" s="160">
        <v>0</v>
      </c>
      <c r="K116" s="160">
        <v>48833.74</v>
      </c>
      <c r="L116" s="160">
        <v>225.55</v>
      </c>
      <c r="M116" s="160">
        <v>2953.26</v>
      </c>
      <c r="N116" s="160">
        <v>74210.66</v>
      </c>
    </row>
    <row r="117" spans="1:14" x14ac:dyDescent="0.25">
      <c r="A117" s="157" t="s">
        <v>88</v>
      </c>
      <c r="B117" s="160">
        <v>0</v>
      </c>
      <c r="C117" s="160">
        <v>0</v>
      </c>
      <c r="D117" s="160">
        <v>0</v>
      </c>
      <c r="E117" s="160">
        <v>735</v>
      </c>
      <c r="F117" s="160">
        <v>0</v>
      </c>
      <c r="G117" s="160">
        <v>37</v>
      </c>
      <c r="H117" s="160">
        <v>0</v>
      </c>
      <c r="I117" s="160">
        <v>0</v>
      </c>
      <c r="J117" s="160">
        <v>0</v>
      </c>
      <c r="K117" s="160">
        <v>0</v>
      </c>
      <c r="L117" s="160">
        <v>147</v>
      </c>
      <c r="M117" s="160">
        <v>147</v>
      </c>
      <c r="N117" s="160">
        <v>1066</v>
      </c>
    </row>
    <row r="118" spans="1:14" x14ac:dyDescent="0.25">
      <c r="A118" s="157" t="s">
        <v>89</v>
      </c>
      <c r="B118" s="160">
        <v>2717.42</v>
      </c>
      <c r="C118" s="160">
        <v>35.700000000000003</v>
      </c>
      <c r="D118" s="160">
        <v>-492.86</v>
      </c>
      <c r="E118" s="160">
        <v>8839.06</v>
      </c>
      <c r="F118" s="160">
        <v>0</v>
      </c>
      <c r="G118" s="160">
        <v>1172</v>
      </c>
      <c r="H118" s="160">
        <v>1053.71</v>
      </c>
      <c r="I118" s="160">
        <v>25</v>
      </c>
      <c r="J118" s="160">
        <v>4900</v>
      </c>
      <c r="K118" s="160">
        <v>4632.43</v>
      </c>
      <c r="L118" s="160">
        <v>8649.02</v>
      </c>
      <c r="M118" s="160">
        <v>0</v>
      </c>
      <c r="N118" s="160">
        <v>31531.48</v>
      </c>
    </row>
    <row r="119" spans="1:14" x14ac:dyDescent="0.25">
      <c r="A119" s="157" t="s">
        <v>90</v>
      </c>
      <c r="B119" s="160">
        <v>-6.5</v>
      </c>
      <c r="C119" s="160">
        <v>0</v>
      </c>
      <c r="D119" s="160">
        <v>0</v>
      </c>
      <c r="E119" s="160">
        <v>0</v>
      </c>
      <c r="F119" s="160">
        <v>0</v>
      </c>
      <c r="G119" s="160">
        <v>0</v>
      </c>
      <c r="H119" s="160">
        <v>0</v>
      </c>
      <c r="I119" s="160">
        <v>0</v>
      </c>
      <c r="J119" s="160">
        <v>0</v>
      </c>
      <c r="K119" s="160">
        <v>0</v>
      </c>
      <c r="L119" s="160">
        <v>0</v>
      </c>
      <c r="M119" s="160">
        <v>0</v>
      </c>
      <c r="N119" s="160">
        <v>-6.5</v>
      </c>
    </row>
    <row r="120" spans="1:14" x14ac:dyDescent="0.25">
      <c r="A120" s="157" t="s">
        <v>91</v>
      </c>
      <c r="B120" s="160">
        <v>0</v>
      </c>
      <c r="C120" s="160">
        <v>515</v>
      </c>
      <c r="D120" s="160">
        <v>0</v>
      </c>
      <c r="E120" s="160">
        <v>0</v>
      </c>
      <c r="F120" s="160">
        <v>0</v>
      </c>
      <c r="G120" s="160">
        <v>0</v>
      </c>
      <c r="H120" s="160">
        <v>0</v>
      </c>
      <c r="I120" s="160">
        <v>0</v>
      </c>
      <c r="J120" s="160">
        <v>0</v>
      </c>
      <c r="K120" s="160">
        <v>0</v>
      </c>
      <c r="L120" s="160">
        <v>0</v>
      </c>
      <c r="M120" s="160">
        <v>0</v>
      </c>
      <c r="N120" s="160">
        <v>515</v>
      </c>
    </row>
    <row r="121" spans="1:14" x14ac:dyDescent="0.25">
      <c r="A121" s="157" t="s">
        <v>354</v>
      </c>
      <c r="B121" s="160">
        <v>0</v>
      </c>
      <c r="C121" s="160">
        <v>0</v>
      </c>
      <c r="D121" s="160">
        <v>0</v>
      </c>
      <c r="E121" s="160">
        <v>0</v>
      </c>
      <c r="F121" s="160">
        <v>0</v>
      </c>
      <c r="G121" s="160">
        <v>0</v>
      </c>
      <c r="H121" s="160">
        <v>0</v>
      </c>
      <c r="I121" s="160">
        <v>0</v>
      </c>
      <c r="J121" s="160">
        <v>0</v>
      </c>
      <c r="K121" s="160">
        <v>0</v>
      </c>
      <c r="L121" s="160">
        <v>3987.22</v>
      </c>
      <c r="M121" s="160">
        <v>0</v>
      </c>
      <c r="N121" s="160">
        <v>3987.22</v>
      </c>
    </row>
    <row r="122" spans="1:14" x14ac:dyDescent="0.25">
      <c r="A122" s="157" t="s">
        <v>93</v>
      </c>
      <c r="B122" s="160">
        <v>607.03</v>
      </c>
      <c r="C122" s="160">
        <v>0</v>
      </c>
      <c r="D122" s="160">
        <v>1199.98</v>
      </c>
      <c r="E122" s="160">
        <v>614.07000000000005</v>
      </c>
      <c r="F122" s="160">
        <v>0</v>
      </c>
      <c r="G122" s="160">
        <v>599.99</v>
      </c>
      <c r="H122" s="160">
        <v>0</v>
      </c>
      <c r="I122" s="160">
        <v>0</v>
      </c>
      <c r="J122" s="160">
        <v>0</v>
      </c>
      <c r="K122" s="160">
        <v>32325.03</v>
      </c>
      <c r="L122" s="160">
        <v>51906.45</v>
      </c>
      <c r="M122" s="160">
        <v>10172.92</v>
      </c>
      <c r="N122" s="160">
        <v>97425.47</v>
      </c>
    </row>
    <row r="123" spans="1:14" x14ac:dyDescent="0.25">
      <c r="A123" s="157" t="s">
        <v>465</v>
      </c>
      <c r="B123" s="160">
        <v>0</v>
      </c>
      <c r="C123" s="160">
        <v>0</v>
      </c>
      <c r="D123" s="160">
        <v>0</v>
      </c>
      <c r="E123" s="160">
        <v>0</v>
      </c>
      <c r="F123" s="160">
        <v>0</v>
      </c>
      <c r="G123" s="160">
        <v>0</v>
      </c>
      <c r="H123" s="160">
        <v>0</v>
      </c>
      <c r="I123" s="160">
        <v>0</v>
      </c>
      <c r="J123" s="160">
        <v>0</v>
      </c>
      <c r="K123" s="160">
        <v>0</v>
      </c>
      <c r="L123" s="160">
        <v>0</v>
      </c>
      <c r="M123" s="160">
        <v>-8331.86</v>
      </c>
      <c r="N123" s="160">
        <v>-8331.86</v>
      </c>
    </row>
    <row r="124" spans="1:14" x14ac:dyDescent="0.25">
      <c r="A124" s="157" t="s">
        <v>94</v>
      </c>
      <c r="B124" s="160">
        <v>129611.51</v>
      </c>
      <c r="C124" s="160">
        <v>-66123.92</v>
      </c>
      <c r="D124" s="160">
        <v>-154144.07</v>
      </c>
      <c r="E124" s="160">
        <v>-216348.74</v>
      </c>
      <c r="F124" s="160">
        <v>-136768.56</v>
      </c>
      <c r="G124" s="160">
        <v>-191432.73</v>
      </c>
      <c r="H124" s="160">
        <v>-193480.22</v>
      </c>
      <c r="I124" s="160">
        <v>-546791.04</v>
      </c>
      <c r="J124" s="160">
        <v>-312342.38</v>
      </c>
      <c r="K124" s="160">
        <v>-257290.67</v>
      </c>
      <c r="L124" s="160">
        <v>-443349.15</v>
      </c>
      <c r="M124" s="160">
        <v>-276237.7</v>
      </c>
      <c r="N124" s="160">
        <v>-2664697.67</v>
      </c>
    </row>
    <row r="125" spans="1:14" x14ac:dyDescent="0.25">
      <c r="A125" s="157" t="s">
        <v>95</v>
      </c>
      <c r="B125" s="160">
        <v>51387.75</v>
      </c>
      <c r="C125" s="160">
        <v>51387.75</v>
      </c>
      <c r="D125" s="160">
        <v>51387.75</v>
      </c>
      <c r="E125" s="160">
        <v>51387.75</v>
      </c>
      <c r="F125" s="160">
        <v>69492.539999999994</v>
      </c>
      <c r="G125" s="160">
        <v>51387.75</v>
      </c>
      <c r="H125" s="160">
        <v>51387.75</v>
      </c>
      <c r="I125" s="160">
        <v>59619.62</v>
      </c>
      <c r="J125" s="160">
        <v>52481.41</v>
      </c>
      <c r="K125" s="160">
        <v>58969.8</v>
      </c>
      <c r="L125" s="160">
        <v>53507.31</v>
      </c>
      <c r="M125" s="160">
        <v>52481.599999999999</v>
      </c>
      <c r="N125" s="160">
        <v>654878.78</v>
      </c>
    </row>
    <row r="126" spans="1:14" x14ac:dyDescent="0.25">
      <c r="A126" s="157" t="s">
        <v>96</v>
      </c>
      <c r="B126" s="160">
        <v>604.48</v>
      </c>
      <c r="C126" s="160">
        <v>738.13</v>
      </c>
      <c r="D126" s="160">
        <v>1181.5899999999999</v>
      </c>
      <c r="E126" s="160">
        <v>646.27</v>
      </c>
      <c r="F126" s="160">
        <v>122.78</v>
      </c>
      <c r="G126" s="160">
        <v>802.24</v>
      </c>
      <c r="H126" s="160">
        <v>393.78</v>
      </c>
      <c r="I126" s="160">
        <v>447.48</v>
      </c>
      <c r="J126" s="160">
        <v>162.56</v>
      </c>
      <c r="K126" s="160">
        <v>232.14</v>
      </c>
      <c r="L126" s="160">
        <v>509.82</v>
      </c>
      <c r="M126" s="160">
        <v>708.43</v>
      </c>
      <c r="N126" s="160">
        <v>6549.7</v>
      </c>
    </row>
    <row r="127" spans="1:14" x14ac:dyDescent="0.25">
      <c r="A127" s="157" t="s">
        <v>97</v>
      </c>
      <c r="B127" s="166">
        <v>-48593.27</v>
      </c>
      <c r="C127" s="166">
        <v>-26107.18</v>
      </c>
      <c r="D127" s="166">
        <v>-22746.49</v>
      </c>
      <c r="E127" s="166">
        <v>-44070.06</v>
      </c>
      <c r="F127" s="166">
        <v>-55517.85</v>
      </c>
      <c r="G127" s="166">
        <v>-59471.31</v>
      </c>
      <c r="H127" s="166">
        <v>-153037.01</v>
      </c>
      <c r="I127" s="166">
        <v>-66446.12</v>
      </c>
      <c r="J127" s="166">
        <v>-78440.289999999994</v>
      </c>
      <c r="K127" s="166">
        <v>-103649.03</v>
      </c>
      <c r="L127" s="166">
        <v>-80023.17</v>
      </c>
      <c r="M127" s="166">
        <v>-53876.4</v>
      </c>
      <c r="N127" s="166">
        <v>-791978.18</v>
      </c>
    </row>
    <row r="128" spans="1:14" x14ac:dyDescent="0.25">
      <c r="A128" s="157" t="s">
        <v>98</v>
      </c>
      <c r="B128" s="160">
        <f t="shared" ref="B128:N128" si="20">SUM(B109:B127)</f>
        <v>160609.73000000001</v>
      </c>
      <c r="C128" s="160">
        <f t="shared" si="20"/>
        <v>-24252.779999999995</v>
      </c>
      <c r="D128" s="160">
        <f t="shared" si="20"/>
        <v>-100640.61000000002</v>
      </c>
      <c r="E128" s="160">
        <f t="shared" si="20"/>
        <v>-172299.05</v>
      </c>
      <c r="F128" s="160">
        <f t="shared" si="20"/>
        <v>-113701.11000000002</v>
      </c>
      <c r="G128" s="160">
        <f t="shared" si="20"/>
        <v>-177925.68</v>
      </c>
      <c r="H128" s="160">
        <f t="shared" si="20"/>
        <v>-289370.51</v>
      </c>
      <c r="I128" s="160">
        <f t="shared" si="20"/>
        <v>-541222.56000000006</v>
      </c>
      <c r="J128" s="160">
        <f t="shared" si="20"/>
        <v>-330440.49</v>
      </c>
      <c r="K128" s="160">
        <f t="shared" si="20"/>
        <v>-214113.89</v>
      </c>
      <c r="L128" s="160">
        <f t="shared" si="20"/>
        <v>-392934.54</v>
      </c>
      <c r="M128" s="160">
        <f t="shared" si="20"/>
        <v>-287108.86</v>
      </c>
      <c r="N128" s="160">
        <f t="shared" si="20"/>
        <v>-2483400.35</v>
      </c>
    </row>
    <row r="129" spans="1:14" x14ac:dyDescent="0.25">
      <c r="A129" s="157"/>
      <c r="B129" s="175"/>
      <c r="C129" s="175"/>
      <c r="D129" s="175"/>
      <c r="E129" s="175"/>
      <c r="F129" s="175"/>
      <c r="G129" s="175"/>
      <c r="H129" s="175"/>
      <c r="I129" s="175"/>
      <c r="J129" s="175"/>
      <c r="K129" s="175"/>
      <c r="L129" s="175"/>
      <c r="M129" s="175"/>
      <c r="N129" s="175"/>
    </row>
    <row r="130" spans="1:14" x14ac:dyDescent="0.25">
      <c r="A130" s="157" t="s">
        <v>99</v>
      </c>
      <c r="B130" s="166">
        <f t="shared" ref="B130:N130" si="21">SUM(B72:B129)-B77-B82-B87-B107-B128</f>
        <v>25845243.790000018</v>
      </c>
      <c r="C130" s="166">
        <f t="shared" si="21"/>
        <v>26372696.529999986</v>
      </c>
      <c r="D130" s="166">
        <f t="shared" si="21"/>
        <v>24144455.640000004</v>
      </c>
      <c r="E130" s="166">
        <f t="shared" si="21"/>
        <v>25786271.089999992</v>
      </c>
      <c r="F130" s="166">
        <f t="shared" si="21"/>
        <v>25294930.01000002</v>
      </c>
      <c r="G130" s="166">
        <f t="shared" si="21"/>
        <v>24672490.289999962</v>
      </c>
      <c r="H130" s="166">
        <f t="shared" si="21"/>
        <v>23483281.300000004</v>
      </c>
      <c r="I130" s="166">
        <f t="shared" si="21"/>
        <v>24218085.18999999</v>
      </c>
      <c r="J130" s="166">
        <f t="shared" si="21"/>
        <v>24768739.019999992</v>
      </c>
      <c r="K130" s="166">
        <f t="shared" si="21"/>
        <v>23800604.690000009</v>
      </c>
      <c r="L130" s="166">
        <f t="shared" si="21"/>
        <v>25144640.159999967</v>
      </c>
      <c r="M130" s="166">
        <f t="shared" si="21"/>
        <v>26355120.319999993</v>
      </c>
      <c r="N130" s="166">
        <f t="shared" si="21"/>
        <v>299886558.03000021</v>
      </c>
    </row>
    <row r="131" spans="1:14" x14ac:dyDescent="0.25">
      <c r="A131" s="157"/>
      <c r="B131" s="161"/>
      <c r="C131" s="161"/>
      <c r="D131" s="161"/>
      <c r="E131" s="161"/>
      <c r="F131" s="161"/>
      <c r="G131" s="161"/>
      <c r="H131" s="161"/>
      <c r="I131" s="161"/>
      <c r="J131" s="161"/>
      <c r="K131" s="161"/>
      <c r="L131" s="161"/>
      <c r="M131" s="161"/>
      <c r="N131" s="161"/>
    </row>
    <row r="132" spans="1:14" x14ac:dyDescent="0.25">
      <c r="A132" s="157" t="s">
        <v>100</v>
      </c>
      <c r="B132" s="161"/>
      <c r="C132" s="161"/>
      <c r="D132" s="161"/>
      <c r="E132" s="161"/>
      <c r="F132" s="161"/>
      <c r="G132" s="161"/>
      <c r="H132" s="161"/>
      <c r="I132" s="161"/>
      <c r="J132" s="161"/>
      <c r="K132" s="161"/>
      <c r="L132" s="161"/>
      <c r="M132" s="161"/>
      <c r="N132" s="161"/>
    </row>
    <row r="133" spans="1:14" x14ac:dyDescent="0.25">
      <c r="A133" s="157"/>
      <c r="B133" s="161"/>
      <c r="C133" s="161"/>
      <c r="D133" s="161"/>
      <c r="E133" s="161"/>
      <c r="F133" s="161"/>
      <c r="G133" s="161"/>
      <c r="H133" s="161"/>
      <c r="I133" s="161"/>
      <c r="J133" s="161"/>
      <c r="K133" s="161"/>
      <c r="L133" s="161"/>
      <c r="M133" s="161"/>
      <c r="N133" s="161"/>
    </row>
    <row r="134" spans="1:14" x14ac:dyDescent="0.25">
      <c r="A134" s="157" t="s">
        <v>101</v>
      </c>
      <c r="B134" s="160">
        <v>238979.77</v>
      </c>
      <c r="C134" s="160">
        <v>283853.02</v>
      </c>
      <c r="D134" s="160">
        <v>276412.46999999997</v>
      </c>
      <c r="E134" s="160">
        <v>257695.99</v>
      </c>
      <c r="F134" s="160">
        <v>253693.29</v>
      </c>
      <c r="G134" s="160">
        <v>257917.95</v>
      </c>
      <c r="H134" s="160">
        <v>258748.08</v>
      </c>
      <c r="I134" s="160">
        <v>246969.52</v>
      </c>
      <c r="J134" s="160">
        <v>244353.82</v>
      </c>
      <c r="K134" s="160">
        <v>259327.95</v>
      </c>
      <c r="L134" s="160">
        <v>255491.66</v>
      </c>
      <c r="M134" s="160">
        <v>280954.43</v>
      </c>
      <c r="N134" s="160">
        <v>3114397.95</v>
      </c>
    </row>
    <row r="135" spans="1:14" x14ac:dyDescent="0.25">
      <c r="A135" s="157" t="s">
        <v>102</v>
      </c>
      <c r="B135" s="160">
        <v>-8310.2000000000007</v>
      </c>
      <c r="C135" s="160">
        <v>15996.32</v>
      </c>
      <c r="D135" s="160">
        <v>8701.9</v>
      </c>
      <c r="E135" s="160">
        <v>5337.77</v>
      </c>
      <c r="F135" s="160">
        <v>6294.34</v>
      </c>
      <c r="G135" s="160">
        <v>3858.98</v>
      </c>
      <c r="H135" s="160">
        <v>-4007.56</v>
      </c>
      <c r="I135" s="160">
        <v>4569.6000000000004</v>
      </c>
      <c r="J135" s="160">
        <v>8195.7099999999991</v>
      </c>
      <c r="K135" s="160">
        <v>12645.71</v>
      </c>
      <c r="L135" s="160">
        <v>7932.26</v>
      </c>
      <c r="M135" s="160">
        <v>7945.71</v>
      </c>
      <c r="N135" s="160">
        <v>69160.539999999994</v>
      </c>
    </row>
    <row r="136" spans="1:14" x14ac:dyDescent="0.25">
      <c r="A136" s="157" t="s">
        <v>204</v>
      </c>
      <c r="B136" s="160">
        <v>751291.72</v>
      </c>
      <c r="C136" s="160">
        <v>751885.93</v>
      </c>
      <c r="D136" s="160">
        <v>688436.32</v>
      </c>
      <c r="E136" s="160">
        <v>792552.46</v>
      </c>
      <c r="F136" s="160">
        <v>782366.28</v>
      </c>
      <c r="G136" s="160">
        <v>775660.89</v>
      </c>
      <c r="H136" s="160">
        <v>723018.15</v>
      </c>
      <c r="I136" s="160">
        <v>751988.35</v>
      </c>
      <c r="J136" s="160">
        <v>747517.47</v>
      </c>
      <c r="K136" s="160">
        <v>670106.31000000006</v>
      </c>
      <c r="L136" s="160">
        <v>692927.17</v>
      </c>
      <c r="M136" s="160">
        <v>736730.76</v>
      </c>
      <c r="N136" s="160">
        <v>8864481.8100000005</v>
      </c>
    </row>
    <row r="137" spans="1:14" x14ac:dyDescent="0.25">
      <c r="A137" s="157" t="s">
        <v>103</v>
      </c>
      <c r="B137" s="160">
        <v>2625</v>
      </c>
      <c r="C137" s="160">
        <v>1125</v>
      </c>
      <c r="D137" s="160">
        <v>1475</v>
      </c>
      <c r="E137" s="160">
        <v>3085</v>
      </c>
      <c r="F137" s="160">
        <v>3350</v>
      </c>
      <c r="G137" s="160">
        <v>2000</v>
      </c>
      <c r="H137" s="160">
        <v>1142.4000000000001</v>
      </c>
      <c r="I137" s="160">
        <v>1604</v>
      </c>
      <c r="J137" s="160">
        <v>2589.85</v>
      </c>
      <c r="K137" s="160">
        <v>2768</v>
      </c>
      <c r="L137" s="160">
        <v>2756.4</v>
      </c>
      <c r="M137" s="160">
        <v>4814.74</v>
      </c>
      <c r="N137" s="160">
        <v>29335.39</v>
      </c>
    </row>
    <row r="138" spans="1:14" x14ac:dyDescent="0.25">
      <c r="A138" s="157" t="s">
        <v>104</v>
      </c>
      <c r="B138" s="160">
        <v>16010.36</v>
      </c>
      <c r="C138" s="160">
        <v>21185.9</v>
      </c>
      <c r="D138" s="160">
        <v>30585.77</v>
      </c>
      <c r="E138" s="160">
        <v>43849.45</v>
      </c>
      <c r="F138" s="160">
        <v>10029.700000000001</v>
      </c>
      <c r="G138" s="160">
        <v>8243.76</v>
      </c>
      <c r="H138" s="160">
        <v>29138.49</v>
      </c>
      <c r="I138" s="160">
        <v>14400.32</v>
      </c>
      <c r="J138" s="160">
        <v>14963.52</v>
      </c>
      <c r="K138" s="160">
        <v>17285.03</v>
      </c>
      <c r="L138" s="160">
        <v>17802.650000000001</v>
      </c>
      <c r="M138" s="160">
        <v>17387.439999999999</v>
      </c>
      <c r="N138" s="160">
        <v>240882.39</v>
      </c>
    </row>
    <row r="139" spans="1:14" x14ac:dyDescent="0.25">
      <c r="A139" s="157" t="s">
        <v>205</v>
      </c>
      <c r="B139" s="160">
        <v>2534568.77</v>
      </c>
      <c r="C139" s="160">
        <v>2634890.2000000002</v>
      </c>
      <c r="D139" s="160">
        <v>2416740.7400000002</v>
      </c>
      <c r="E139" s="160">
        <v>2606398.29</v>
      </c>
      <c r="F139" s="160">
        <v>2478922.89</v>
      </c>
      <c r="G139" s="160">
        <v>2592146.77</v>
      </c>
      <c r="H139" s="160">
        <v>2502926.5</v>
      </c>
      <c r="I139" s="160">
        <v>2549012.77</v>
      </c>
      <c r="J139" s="160">
        <v>2521729.25</v>
      </c>
      <c r="K139" s="160">
        <v>2384124.64</v>
      </c>
      <c r="L139" s="160">
        <v>2563241.5</v>
      </c>
      <c r="M139" s="160">
        <v>2806804.29</v>
      </c>
      <c r="N139" s="160">
        <v>30591506.609999999</v>
      </c>
    </row>
    <row r="140" spans="1:14" x14ac:dyDescent="0.25">
      <c r="A140" s="157" t="s">
        <v>105</v>
      </c>
      <c r="B140" s="160">
        <v>10958.57</v>
      </c>
      <c r="C140" s="160">
        <v>10971.85</v>
      </c>
      <c r="D140" s="160">
        <v>9430.09</v>
      </c>
      <c r="E140" s="160">
        <v>11605.85</v>
      </c>
      <c r="F140" s="160">
        <v>10824.77</v>
      </c>
      <c r="G140" s="160">
        <v>9451.6</v>
      </c>
      <c r="H140" s="160">
        <v>8884.2999999999993</v>
      </c>
      <c r="I140" s="160">
        <v>7975.77</v>
      </c>
      <c r="J140" s="160">
        <v>10587.06</v>
      </c>
      <c r="K140" s="160">
        <v>9100.73</v>
      </c>
      <c r="L140" s="160">
        <v>9014.98</v>
      </c>
      <c r="M140" s="160">
        <v>11972.1</v>
      </c>
      <c r="N140" s="160">
        <v>120777.67</v>
      </c>
    </row>
    <row r="141" spans="1:14" x14ac:dyDescent="0.25">
      <c r="A141" s="157" t="s">
        <v>106</v>
      </c>
      <c r="B141" s="160">
        <v>1648.09</v>
      </c>
      <c r="C141" s="160">
        <v>1089.58</v>
      </c>
      <c r="D141" s="160">
        <v>446.57</v>
      </c>
      <c r="E141" s="160">
        <v>1800.5</v>
      </c>
      <c r="F141" s="160">
        <v>1440.4</v>
      </c>
      <c r="G141" s="160">
        <v>1737.14</v>
      </c>
      <c r="H141" s="160">
        <v>1593.34</v>
      </c>
      <c r="I141" s="160">
        <v>2074.79</v>
      </c>
      <c r="J141" s="160">
        <v>1788.02</v>
      </c>
      <c r="K141" s="160">
        <v>1495.4</v>
      </c>
      <c r="L141" s="160">
        <v>1884.75</v>
      </c>
      <c r="M141" s="160">
        <v>1654.89</v>
      </c>
      <c r="N141" s="160">
        <v>18653.47</v>
      </c>
    </row>
    <row r="142" spans="1:14" x14ac:dyDescent="0.25">
      <c r="A142" s="157" t="s">
        <v>107</v>
      </c>
      <c r="B142" s="160">
        <v>5732.2</v>
      </c>
      <c r="C142" s="160">
        <v>8110.41</v>
      </c>
      <c r="D142" s="160">
        <v>15766.05</v>
      </c>
      <c r="E142" s="160">
        <v>6355.46</v>
      </c>
      <c r="F142" s="160">
        <v>2060.66</v>
      </c>
      <c r="G142" s="160">
        <v>604.02</v>
      </c>
      <c r="H142" s="160">
        <v>3784.02</v>
      </c>
      <c r="I142" s="160">
        <v>2600.2600000000002</v>
      </c>
      <c r="J142" s="160">
        <v>483.22</v>
      </c>
      <c r="K142" s="160">
        <v>2195.83</v>
      </c>
      <c r="L142" s="160">
        <v>4913.03</v>
      </c>
      <c r="M142" s="160">
        <v>5229.62</v>
      </c>
      <c r="N142" s="160">
        <v>57834.78</v>
      </c>
    </row>
    <row r="143" spans="1:14" x14ac:dyDescent="0.25">
      <c r="A143" s="157" t="s">
        <v>206</v>
      </c>
      <c r="B143" s="160">
        <v>339107.85</v>
      </c>
      <c r="C143" s="160">
        <v>346526.69</v>
      </c>
      <c r="D143" s="160">
        <v>317587.65999999997</v>
      </c>
      <c r="E143" s="160">
        <v>336699.81</v>
      </c>
      <c r="F143" s="160">
        <v>325344.25</v>
      </c>
      <c r="G143" s="160">
        <v>329032.2</v>
      </c>
      <c r="H143" s="160">
        <v>318614.31</v>
      </c>
      <c r="I143" s="160">
        <v>327028.26</v>
      </c>
      <c r="J143" s="160">
        <v>340009.22</v>
      </c>
      <c r="K143" s="160">
        <v>315795.8</v>
      </c>
      <c r="L143" s="160">
        <v>320359.49</v>
      </c>
      <c r="M143" s="160">
        <v>335762.5</v>
      </c>
      <c r="N143" s="160">
        <v>3951868.04</v>
      </c>
    </row>
    <row r="144" spans="1:14" x14ac:dyDescent="0.25">
      <c r="A144" s="157" t="s">
        <v>108</v>
      </c>
      <c r="B144" s="160">
        <v>3214.53</v>
      </c>
      <c r="C144" s="160">
        <v>3076.35</v>
      </c>
      <c r="D144" s="160">
        <v>1800</v>
      </c>
      <c r="E144" s="160">
        <v>3770</v>
      </c>
      <c r="F144" s="160">
        <v>2816.65</v>
      </c>
      <c r="G144" s="160">
        <v>2550</v>
      </c>
      <c r="H144" s="160">
        <v>2950</v>
      </c>
      <c r="I144" s="160">
        <v>2330</v>
      </c>
      <c r="J144" s="160">
        <v>2390</v>
      </c>
      <c r="K144" s="160">
        <v>2130</v>
      </c>
      <c r="L144" s="160">
        <v>1985</v>
      </c>
      <c r="M144" s="160">
        <v>2001.01</v>
      </c>
      <c r="N144" s="160">
        <v>31013.54</v>
      </c>
    </row>
    <row r="145" spans="1:14" x14ac:dyDescent="0.25">
      <c r="A145" s="157" t="s">
        <v>207</v>
      </c>
      <c r="B145" s="160">
        <v>2295643.7000000002</v>
      </c>
      <c r="C145" s="160">
        <v>2296719.75</v>
      </c>
      <c r="D145" s="160">
        <v>2032896.29</v>
      </c>
      <c r="E145" s="160">
        <v>2203929.8199999998</v>
      </c>
      <c r="F145" s="160">
        <v>2125709.7400000002</v>
      </c>
      <c r="G145" s="160">
        <v>2195606.94</v>
      </c>
      <c r="H145" s="160">
        <v>2152397.0299999998</v>
      </c>
      <c r="I145" s="160">
        <v>2209148.21</v>
      </c>
      <c r="J145" s="160">
        <v>2139808.14</v>
      </c>
      <c r="K145" s="160">
        <v>2068097.03</v>
      </c>
      <c r="L145" s="160">
        <v>2169317.35</v>
      </c>
      <c r="M145" s="160">
        <v>2380077.5699999998</v>
      </c>
      <c r="N145" s="160">
        <v>26269351.57</v>
      </c>
    </row>
    <row r="146" spans="1:14" x14ac:dyDescent="0.25">
      <c r="A146" s="157" t="s">
        <v>109</v>
      </c>
      <c r="B146" s="160">
        <v>16096.84</v>
      </c>
      <c r="C146" s="160">
        <v>13058.93</v>
      </c>
      <c r="D146" s="160">
        <v>9232.7000000000007</v>
      </c>
      <c r="E146" s="160">
        <v>19551.07</v>
      </c>
      <c r="F146" s="160">
        <v>13637.36</v>
      </c>
      <c r="G146" s="160">
        <v>11944.62</v>
      </c>
      <c r="H146" s="160">
        <v>10515.65</v>
      </c>
      <c r="I146" s="160">
        <v>8763.82</v>
      </c>
      <c r="J146" s="160">
        <v>9898.9699999999993</v>
      </c>
      <c r="K146" s="160">
        <v>12720.92</v>
      </c>
      <c r="L146" s="160">
        <v>15439.4</v>
      </c>
      <c r="M146" s="160">
        <v>17001.73</v>
      </c>
      <c r="N146" s="160">
        <v>157862.01</v>
      </c>
    </row>
    <row r="147" spans="1:14" x14ac:dyDescent="0.25">
      <c r="A147" s="157" t="s">
        <v>208</v>
      </c>
      <c r="B147" s="160">
        <v>73686.070000000007</v>
      </c>
      <c r="C147" s="160">
        <v>75307.960000000006</v>
      </c>
      <c r="D147" s="160">
        <v>64367.65</v>
      </c>
      <c r="E147" s="160">
        <v>69371.16</v>
      </c>
      <c r="F147" s="160">
        <v>64491.34</v>
      </c>
      <c r="G147" s="160">
        <v>68320.31</v>
      </c>
      <c r="H147" s="160">
        <v>67929.09</v>
      </c>
      <c r="I147" s="160">
        <v>61554.2</v>
      </c>
      <c r="J147" s="160">
        <v>55372.76</v>
      </c>
      <c r="K147" s="160">
        <v>63139.57</v>
      </c>
      <c r="L147" s="160">
        <v>66336.2</v>
      </c>
      <c r="M147" s="160">
        <v>75016.639999999999</v>
      </c>
      <c r="N147" s="160">
        <v>804892.95</v>
      </c>
    </row>
    <row r="148" spans="1:14" x14ac:dyDescent="0.25">
      <c r="A148" s="157" t="s">
        <v>209</v>
      </c>
      <c r="B148" s="160">
        <v>3.51</v>
      </c>
      <c r="C148" s="160">
        <v>0</v>
      </c>
      <c r="D148" s="160">
        <v>0</v>
      </c>
      <c r="E148" s="160">
        <v>350</v>
      </c>
      <c r="F148" s="160">
        <v>100</v>
      </c>
      <c r="G148" s="160">
        <v>50</v>
      </c>
      <c r="H148" s="160">
        <v>0</v>
      </c>
      <c r="I148" s="160">
        <v>240</v>
      </c>
      <c r="J148" s="160">
        <v>210</v>
      </c>
      <c r="K148" s="160">
        <v>180</v>
      </c>
      <c r="L148" s="160">
        <v>330</v>
      </c>
      <c r="M148" s="160">
        <v>228</v>
      </c>
      <c r="N148" s="160">
        <v>1691.51</v>
      </c>
    </row>
    <row r="149" spans="1:14" ht="30" x14ac:dyDescent="0.25">
      <c r="A149" s="157" t="s">
        <v>110</v>
      </c>
      <c r="B149" s="160">
        <v>0</v>
      </c>
      <c r="C149" s="160">
        <v>1628.9</v>
      </c>
      <c r="D149" s="160">
        <v>1577.66</v>
      </c>
      <c r="E149" s="160">
        <v>1465</v>
      </c>
      <c r="F149" s="160">
        <v>4095.26</v>
      </c>
      <c r="G149" s="160">
        <v>22938.03</v>
      </c>
      <c r="H149" s="160">
        <v>53147.519999999997</v>
      </c>
      <c r="I149" s="160">
        <v>19815.03</v>
      </c>
      <c r="J149" s="160">
        <v>59112.85</v>
      </c>
      <c r="K149" s="160">
        <v>60459.08</v>
      </c>
      <c r="L149" s="160">
        <v>72657.17</v>
      </c>
      <c r="M149" s="160">
        <v>228871.1</v>
      </c>
      <c r="N149" s="160">
        <v>525767.6</v>
      </c>
    </row>
    <row r="150" spans="1:14" x14ac:dyDescent="0.25">
      <c r="A150" s="157" t="s">
        <v>210</v>
      </c>
      <c r="B150" s="160">
        <v>645694.84</v>
      </c>
      <c r="C150" s="160">
        <v>314980.68</v>
      </c>
      <c r="D150" s="160">
        <v>185877.01</v>
      </c>
      <c r="E150" s="160">
        <v>242095.58</v>
      </c>
      <c r="F150" s="160">
        <v>231275.86</v>
      </c>
      <c r="G150" s="160">
        <v>373188.61</v>
      </c>
      <c r="H150" s="160">
        <v>293689.31</v>
      </c>
      <c r="I150" s="160">
        <v>448634.44</v>
      </c>
      <c r="J150" s="160">
        <v>325587.5</v>
      </c>
      <c r="K150" s="160">
        <v>375787.3</v>
      </c>
      <c r="L150" s="160">
        <v>340998.75</v>
      </c>
      <c r="M150" s="160">
        <v>587338.32999999996</v>
      </c>
      <c r="N150" s="160">
        <v>4365148.21</v>
      </c>
    </row>
    <row r="151" spans="1:14" x14ac:dyDescent="0.25">
      <c r="A151" s="157" t="s">
        <v>211</v>
      </c>
      <c r="B151" s="160">
        <v>-54699.86</v>
      </c>
      <c r="C151" s="160">
        <v>6731.43</v>
      </c>
      <c r="D151" s="160">
        <v>1057.98</v>
      </c>
      <c r="E151" s="160">
        <v>7753.92</v>
      </c>
      <c r="F151" s="160">
        <v>14443.05</v>
      </c>
      <c r="G151" s="160">
        <v>-12198.04</v>
      </c>
      <c r="H151" s="160">
        <v>-19857.75</v>
      </c>
      <c r="I151" s="160">
        <v>-19067.740000000002</v>
      </c>
      <c r="J151" s="160">
        <v>-58021.97</v>
      </c>
      <c r="K151" s="160">
        <v>52406.54</v>
      </c>
      <c r="L151" s="160">
        <v>21356.41</v>
      </c>
      <c r="M151" s="160">
        <v>-12936.22</v>
      </c>
      <c r="N151" s="160">
        <v>-73032.25</v>
      </c>
    </row>
    <row r="152" spans="1:14" x14ac:dyDescent="0.25">
      <c r="A152" s="157" t="s">
        <v>212</v>
      </c>
      <c r="B152" s="160">
        <v>310569.52</v>
      </c>
      <c r="C152" s="160">
        <v>307770.31</v>
      </c>
      <c r="D152" s="160">
        <v>307081.59000000003</v>
      </c>
      <c r="E152" s="160">
        <v>298509.01</v>
      </c>
      <c r="F152" s="160">
        <v>291725.43</v>
      </c>
      <c r="G152" s="160">
        <v>203126.23</v>
      </c>
      <c r="H152" s="160">
        <v>205322.34</v>
      </c>
      <c r="I152" s="160">
        <v>198680.54</v>
      </c>
      <c r="J152" s="160">
        <v>182997.25</v>
      </c>
      <c r="K152" s="160">
        <v>185145.32</v>
      </c>
      <c r="L152" s="160">
        <v>174079.91</v>
      </c>
      <c r="M152" s="160">
        <v>193040.47</v>
      </c>
      <c r="N152" s="160">
        <v>2858047.92</v>
      </c>
    </row>
    <row r="153" spans="1:14" x14ac:dyDescent="0.25">
      <c r="A153" s="157" t="s">
        <v>213</v>
      </c>
      <c r="B153" s="160">
        <v>377114.88</v>
      </c>
      <c r="C153" s="160">
        <v>844930.35</v>
      </c>
      <c r="D153" s="160">
        <v>518331.44</v>
      </c>
      <c r="E153" s="160">
        <v>539567.38</v>
      </c>
      <c r="F153" s="160">
        <v>505723.54</v>
      </c>
      <c r="G153" s="160">
        <v>515302.57</v>
      </c>
      <c r="H153" s="160">
        <v>485141.97</v>
      </c>
      <c r="I153" s="160">
        <v>504373.11</v>
      </c>
      <c r="J153" s="160">
        <v>487554.89</v>
      </c>
      <c r="K153" s="160">
        <v>470498.71</v>
      </c>
      <c r="L153" s="160">
        <v>493030.3</v>
      </c>
      <c r="M153" s="160">
        <v>553346.77</v>
      </c>
      <c r="N153" s="160">
        <v>6294915.9100000001</v>
      </c>
    </row>
    <row r="154" spans="1:14" x14ac:dyDescent="0.25">
      <c r="A154" s="157" t="s">
        <v>214</v>
      </c>
      <c r="B154" s="160">
        <v>40769.910000000003</v>
      </c>
      <c r="C154" s="160">
        <v>44481.53</v>
      </c>
      <c r="D154" s="160">
        <v>33217.980000000003</v>
      </c>
      <c r="E154" s="160">
        <v>38157.9</v>
      </c>
      <c r="F154" s="160">
        <v>37115.65</v>
      </c>
      <c r="G154" s="160">
        <v>37998.910000000003</v>
      </c>
      <c r="H154" s="160">
        <v>36507.199999999997</v>
      </c>
      <c r="I154" s="160">
        <v>32289.19</v>
      </c>
      <c r="J154" s="160">
        <v>35504</v>
      </c>
      <c r="K154" s="160">
        <v>59852.45</v>
      </c>
      <c r="L154" s="160">
        <v>43943.56</v>
      </c>
      <c r="M154" s="160">
        <v>37844.53</v>
      </c>
      <c r="N154" s="160">
        <v>477682.81</v>
      </c>
    </row>
    <row r="155" spans="1:14" x14ac:dyDescent="0.25">
      <c r="A155" s="157" t="s">
        <v>111</v>
      </c>
      <c r="B155" s="160">
        <v>8508.49</v>
      </c>
      <c r="C155" s="160">
        <v>7464.62</v>
      </c>
      <c r="D155" s="160">
        <v>5393.1</v>
      </c>
      <c r="E155" s="160">
        <v>4328.1400000000003</v>
      </c>
      <c r="F155" s="160">
        <v>3742.39</v>
      </c>
      <c r="G155" s="160">
        <v>4573.76</v>
      </c>
      <c r="H155" s="160">
        <v>3207.78</v>
      </c>
      <c r="I155" s="160">
        <v>2271.7800000000002</v>
      </c>
      <c r="J155" s="160">
        <v>3439.88</v>
      </c>
      <c r="K155" s="160">
        <v>2809.12</v>
      </c>
      <c r="L155" s="160">
        <v>2628.49</v>
      </c>
      <c r="M155" s="160">
        <v>1600.36</v>
      </c>
      <c r="N155" s="160">
        <v>49967.91</v>
      </c>
    </row>
    <row r="156" spans="1:14" x14ac:dyDescent="0.25">
      <c r="A156" s="157" t="s">
        <v>112</v>
      </c>
      <c r="B156" s="160">
        <v>203393.6</v>
      </c>
      <c r="C156" s="160">
        <v>224615.81</v>
      </c>
      <c r="D156" s="160">
        <v>195647.83</v>
      </c>
      <c r="E156" s="160">
        <v>208472.12</v>
      </c>
      <c r="F156" s="160">
        <v>182689</v>
      </c>
      <c r="G156" s="160">
        <v>215546.03</v>
      </c>
      <c r="H156" s="160">
        <v>186291.5</v>
      </c>
      <c r="I156" s="160">
        <v>169566.64</v>
      </c>
      <c r="J156" s="160">
        <v>173027.64</v>
      </c>
      <c r="K156" s="160">
        <v>171508.53</v>
      </c>
      <c r="L156" s="160">
        <v>203330.56</v>
      </c>
      <c r="M156" s="160">
        <v>177723.37</v>
      </c>
      <c r="N156" s="160">
        <v>2311812.63</v>
      </c>
    </row>
    <row r="157" spans="1:14" x14ac:dyDescent="0.25">
      <c r="A157" s="157" t="s">
        <v>113</v>
      </c>
      <c r="B157" s="160">
        <v>4220.03</v>
      </c>
      <c r="C157" s="160">
        <v>3793.29</v>
      </c>
      <c r="D157" s="160">
        <v>4436.2299999999996</v>
      </c>
      <c r="E157" s="160">
        <v>5081.4799999999996</v>
      </c>
      <c r="F157" s="160">
        <v>4516.16</v>
      </c>
      <c r="G157" s="160">
        <v>4273.78</v>
      </c>
      <c r="H157" s="160">
        <v>3656.2</v>
      </c>
      <c r="I157" s="160">
        <v>7050.1</v>
      </c>
      <c r="J157" s="160">
        <v>5030.25</v>
      </c>
      <c r="K157" s="160">
        <v>8946</v>
      </c>
      <c r="L157" s="160">
        <v>6174.37</v>
      </c>
      <c r="M157" s="160">
        <v>8190.85</v>
      </c>
      <c r="N157" s="160">
        <v>65368.74</v>
      </c>
    </row>
    <row r="158" spans="1:14" x14ac:dyDescent="0.25">
      <c r="A158" s="157" t="s">
        <v>114</v>
      </c>
      <c r="B158" s="160">
        <v>35718.559999999998</v>
      </c>
      <c r="C158" s="160">
        <v>27448.080000000002</v>
      </c>
      <c r="D158" s="160">
        <v>31423.33</v>
      </c>
      <c r="E158" s="160">
        <v>36817.440000000002</v>
      </c>
      <c r="F158" s="160">
        <v>26209.919999999998</v>
      </c>
      <c r="G158" s="160">
        <v>26144.15</v>
      </c>
      <c r="H158" s="160">
        <v>18944.439999999999</v>
      </c>
      <c r="I158" s="160">
        <v>35473.94</v>
      </c>
      <c r="J158" s="160">
        <v>26348.02</v>
      </c>
      <c r="K158" s="160">
        <v>27625.23</v>
      </c>
      <c r="L158" s="160">
        <v>30975.18</v>
      </c>
      <c r="M158" s="160">
        <v>47249.93</v>
      </c>
      <c r="N158" s="160">
        <v>370378.22</v>
      </c>
    </row>
    <row r="159" spans="1:14" x14ac:dyDescent="0.25">
      <c r="A159" s="157" t="s">
        <v>115</v>
      </c>
      <c r="B159" s="160">
        <v>86758.23</v>
      </c>
      <c r="C159" s="160">
        <v>77350.149999999994</v>
      </c>
      <c r="D159" s="160">
        <v>75783.399999999994</v>
      </c>
      <c r="E159" s="160">
        <v>80093.5</v>
      </c>
      <c r="F159" s="160">
        <v>77437.63</v>
      </c>
      <c r="G159" s="160">
        <v>93075.85</v>
      </c>
      <c r="H159" s="160">
        <v>80144.509999999995</v>
      </c>
      <c r="I159" s="160">
        <v>74900.759999999995</v>
      </c>
      <c r="J159" s="160">
        <v>88409.86</v>
      </c>
      <c r="K159" s="160">
        <v>76983</v>
      </c>
      <c r="L159" s="160">
        <v>95127.85</v>
      </c>
      <c r="M159" s="160">
        <v>90611.49</v>
      </c>
      <c r="N159" s="160">
        <v>996676.23</v>
      </c>
    </row>
    <row r="160" spans="1:14" x14ac:dyDescent="0.25">
      <c r="A160" s="157" t="s">
        <v>116</v>
      </c>
      <c r="B160" s="160">
        <v>45050.51</v>
      </c>
      <c r="C160" s="160">
        <v>30499.93</v>
      </c>
      <c r="D160" s="160">
        <v>18251.259999999998</v>
      </c>
      <c r="E160" s="160">
        <v>29368</v>
      </c>
      <c r="F160" s="160">
        <v>25218.68</v>
      </c>
      <c r="G160" s="160">
        <v>-21547.46</v>
      </c>
      <c r="H160" s="160">
        <v>23007.46</v>
      </c>
      <c r="I160" s="160">
        <v>7913.06</v>
      </c>
      <c r="J160" s="160">
        <v>2657.92</v>
      </c>
      <c r="K160" s="160">
        <v>1452.26</v>
      </c>
      <c r="L160" s="160">
        <v>19133.59</v>
      </c>
      <c r="M160" s="160">
        <v>-8487.83</v>
      </c>
      <c r="N160" s="160">
        <v>172517.38</v>
      </c>
    </row>
    <row r="161" spans="1:14" x14ac:dyDescent="0.25">
      <c r="A161" s="157" t="s">
        <v>117</v>
      </c>
      <c r="B161" s="160">
        <v>0</v>
      </c>
      <c r="C161" s="160">
        <v>239.98</v>
      </c>
      <c r="D161" s="160">
        <v>0</v>
      </c>
      <c r="E161" s="160">
        <v>0</v>
      </c>
      <c r="F161" s="160">
        <v>0</v>
      </c>
      <c r="G161" s="160">
        <v>0</v>
      </c>
      <c r="H161" s="160">
        <v>0</v>
      </c>
      <c r="I161" s="160">
        <v>0</v>
      </c>
      <c r="J161" s="160">
        <v>0</v>
      </c>
      <c r="K161" s="160">
        <v>0</v>
      </c>
      <c r="L161" s="160">
        <v>0</v>
      </c>
      <c r="M161" s="160">
        <v>0</v>
      </c>
      <c r="N161" s="160">
        <v>239.98</v>
      </c>
    </row>
    <row r="162" spans="1:14" x14ac:dyDescent="0.25">
      <c r="A162" s="157" t="s">
        <v>215</v>
      </c>
      <c r="B162" s="160">
        <v>12841.64</v>
      </c>
      <c r="C162" s="160">
        <v>19455.27</v>
      </c>
      <c r="D162" s="160">
        <v>262.45999999999998</v>
      </c>
      <c r="E162" s="160">
        <v>31.51</v>
      </c>
      <c r="F162" s="160">
        <v>36.130000000000003</v>
      </c>
      <c r="G162" s="160">
        <v>959.58</v>
      </c>
      <c r="H162" s="160">
        <v>1227.97</v>
      </c>
      <c r="I162" s="160">
        <v>2660.45</v>
      </c>
      <c r="J162" s="160">
        <v>-2315.81</v>
      </c>
      <c r="K162" s="160">
        <v>139.74</v>
      </c>
      <c r="L162" s="160">
        <v>440.89</v>
      </c>
      <c r="M162" s="160">
        <v>-440.89</v>
      </c>
      <c r="N162" s="160">
        <v>35298.94</v>
      </c>
    </row>
    <row r="163" spans="1:14" ht="30" x14ac:dyDescent="0.25">
      <c r="A163" s="157" t="s">
        <v>216</v>
      </c>
      <c r="B163" s="166">
        <v>8903.9500000000007</v>
      </c>
      <c r="C163" s="166">
        <v>10282.26</v>
      </c>
      <c r="D163" s="166">
        <v>8892.81</v>
      </c>
      <c r="E163" s="166">
        <v>6575.22</v>
      </c>
      <c r="F163" s="166">
        <v>5502.63</v>
      </c>
      <c r="G163" s="166">
        <v>6646.51</v>
      </c>
      <c r="H163" s="166">
        <v>3658.43</v>
      </c>
      <c r="I163" s="166">
        <v>4733.92</v>
      </c>
      <c r="J163" s="166">
        <v>6627.57</v>
      </c>
      <c r="K163" s="166">
        <v>6961.97</v>
      </c>
      <c r="L163" s="166">
        <v>2701.38</v>
      </c>
      <c r="M163" s="166">
        <v>620.62</v>
      </c>
      <c r="N163" s="166">
        <v>72107.27</v>
      </c>
    </row>
    <row r="164" spans="1:14" x14ac:dyDescent="0.25">
      <c r="A164" s="157" t="s">
        <v>217</v>
      </c>
      <c r="B164" s="160">
        <f t="shared" ref="B164:N164" si="22">SUM(B132:B163)</f>
        <v>8006101.0799999991</v>
      </c>
      <c r="C164" s="160">
        <f t="shared" si="22"/>
        <v>8385470.4799999986</v>
      </c>
      <c r="D164" s="160">
        <f t="shared" si="22"/>
        <v>7261113.290000001</v>
      </c>
      <c r="E164" s="160">
        <f t="shared" si="22"/>
        <v>7860668.830000001</v>
      </c>
      <c r="F164" s="160">
        <f t="shared" si="22"/>
        <v>7490813</v>
      </c>
      <c r="G164" s="160">
        <f t="shared" si="22"/>
        <v>7729153.6900000013</v>
      </c>
      <c r="H164" s="160">
        <f t="shared" si="22"/>
        <v>7451722.6799999988</v>
      </c>
      <c r="I164" s="160">
        <f t="shared" si="22"/>
        <v>7679555.0900000008</v>
      </c>
      <c r="J164" s="160">
        <f t="shared" si="22"/>
        <v>7435856.8600000003</v>
      </c>
      <c r="K164" s="160">
        <f t="shared" si="22"/>
        <v>7321688.1700000009</v>
      </c>
      <c r="L164" s="160">
        <f t="shared" si="22"/>
        <v>7636310.2499999991</v>
      </c>
      <c r="M164" s="160">
        <f t="shared" si="22"/>
        <v>8588154.3099999987</v>
      </c>
      <c r="N164" s="160">
        <f t="shared" si="22"/>
        <v>92846607.729999974</v>
      </c>
    </row>
    <row r="165" spans="1:14" x14ac:dyDescent="0.25">
      <c r="A165" s="157"/>
      <c r="B165" s="161"/>
      <c r="C165" s="161"/>
      <c r="D165" s="161"/>
      <c r="E165" s="161"/>
      <c r="F165" s="161"/>
      <c r="G165" s="161"/>
      <c r="H165" s="161"/>
      <c r="I165" s="161"/>
      <c r="J165" s="161"/>
      <c r="K165" s="161"/>
      <c r="L165" s="161"/>
      <c r="M165" s="161"/>
      <c r="N165" s="161"/>
    </row>
    <row r="166" spans="1:14" x14ac:dyDescent="0.25">
      <c r="A166" s="157" t="s">
        <v>118</v>
      </c>
      <c r="B166" s="160">
        <v>113820</v>
      </c>
      <c r="C166" s="160">
        <v>112610</v>
      </c>
      <c r="D166" s="160">
        <v>114520</v>
      </c>
      <c r="E166" s="160">
        <v>95485</v>
      </c>
      <c r="F166" s="160">
        <v>114145</v>
      </c>
      <c r="G166" s="160">
        <v>108189.99</v>
      </c>
      <c r="H166" s="160">
        <v>114020</v>
      </c>
      <c r="I166" s="160">
        <v>124805</v>
      </c>
      <c r="J166" s="160">
        <v>117125</v>
      </c>
      <c r="K166" s="160">
        <v>115520</v>
      </c>
      <c r="L166" s="160">
        <v>110680</v>
      </c>
      <c r="M166" s="160">
        <v>59518</v>
      </c>
      <c r="N166" s="160">
        <v>1300437.99</v>
      </c>
    </row>
    <row r="167" spans="1:14" x14ac:dyDescent="0.25">
      <c r="A167" s="157" t="s">
        <v>466</v>
      </c>
      <c r="B167" s="160">
        <v>0</v>
      </c>
      <c r="C167" s="160">
        <v>0</v>
      </c>
      <c r="D167" s="160">
        <v>0</v>
      </c>
      <c r="E167" s="160">
        <v>0</v>
      </c>
      <c r="F167" s="160">
        <v>0</v>
      </c>
      <c r="G167" s="160">
        <v>0</v>
      </c>
      <c r="H167" s="160">
        <v>0</v>
      </c>
      <c r="I167" s="160">
        <v>0</v>
      </c>
      <c r="J167" s="160">
        <v>0</v>
      </c>
      <c r="K167" s="160">
        <v>0</v>
      </c>
      <c r="L167" s="160">
        <v>0</v>
      </c>
      <c r="M167" s="160">
        <v>556</v>
      </c>
      <c r="N167" s="160">
        <v>556</v>
      </c>
    </row>
    <row r="168" spans="1:14" x14ac:dyDescent="0.25">
      <c r="A168" s="157" t="s">
        <v>119</v>
      </c>
      <c r="B168" s="166">
        <v>42259.35</v>
      </c>
      <c r="C168" s="166">
        <v>42136.46</v>
      </c>
      <c r="D168" s="166">
        <v>41290.699999999997</v>
      </c>
      <c r="E168" s="166">
        <v>34576.36</v>
      </c>
      <c r="F168" s="166">
        <v>46822.73</v>
      </c>
      <c r="G168" s="166">
        <v>38554.65</v>
      </c>
      <c r="H168" s="166">
        <v>31466</v>
      </c>
      <c r="I168" s="166">
        <v>30150.9</v>
      </c>
      <c r="J168" s="166">
        <v>34149.300000000003</v>
      </c>
      <c r="K168" s="166">
        <v>31988.400000000001</v>
      </c>
      <c r="L168" s="166">
        <v>29444.2</v>
      </c>
      <c r="M168" s="166">
        <v>-63455.74</v>
      </c>
      <c r="N168" s="166">
        <v>339383.31</v>
      </c>
    </row>
    <row r="169" spans="1:14" x14ac:dyDescent="0.25">
      <c r="A169" s="157" t="s">
        <v>120</v>
      </c>
      <c r="B169" s="160">
        <f t="shared" ref="B169:N169" si="23">SUM(B165:B168)</f>
        <v>156079.35</v>
      </c>
      <c r="C169" s="160">
        <f t="shared" si="23"/>
        <v>154746.46</v>
      </c>
      <c r="D169" s="160">
        <f t="shared" si="23"/>
        <v>155810.70000000001</v>
      </c>
      <c r="E169" s="160">
        <f t="shared" si="23"/>
        <v>130061.36</v>
      </c>
      <c r="F169" s="160">
        <f t="shared" si="23"/>
        <v>160967.73000000001</v>
      </c>
      <c r="G169" s="160">
        <f t="shared" si="23"/>
        <v>146744.64000000001</v>
      </c>
      <c r="H169" s="160">
        <f t="shared" si="23"/>
        <v>145486</v>
      </c>
      <c r="I169" s="160">
        <f t="shared" si="23"/>
        <v>154955.9</v>
      </c>
      <c r="J169" s="160">
        <f t="shared" si="23"/>
        <v>151274.29999999999</v>
      </c>
      <c r="K169" s="160">
        <f t="shared" si="23"/>
        <v>147508.4</v>
      </c>
      <c r="L169" s="160">
        <f t="shared" si="23"/>
        <v>140124.20000000001</v>
      </c>
      <c r="M169" s="160">
        <f t="shared" si="23"/>
        <v>-3381.739999999998</v>
      </c>
      <c r="N169" s="160">
        <f t="shared" si="23"/>
        <v>1640377.3</v>
      </c>
    </row>
    <row r="170" spans="1:14" x14ac:dyDescent="0.25">
      <c r="A170" s="157"/>
      <c r="B170" s="161"/>
      <c r="C170" s="161"/>
      <c r="D170" s="161"/>
      <c r="E170" s="161"/>
      <c r="F170" s="161"/>
      <c r="G170" s="161"/>
      <c r="H170" s="161"/>
      <c r="I170" s="161"/>
      <c r="J170" s="161"/>
      <c r="K170" s="161"/>
      <c r="L170" s="161"/>
      <c r="M170" s="161"/>
      <c r="N170" s="161"/>
    </row>
    <row r="171" spans="1:14" x14ac:dyDescent="0.25">
      <c r="A171" s="157" t="s">
        <v>218</v>
      </c>
      <c r="B171" s="160">
        <v>13551</v>
      </c>
      <c r="C171" s="160">
        <v>11138.88</v>
      </c>
      <c r="D171" s="160">
        <v>10481.35</v>
      </c>
      <c r="E171" s="160">
        <v>10506.21</v>
      </c>
      <c r="F171" s="160">
        <v>11263.73</v>
      </c>
      <c r="G171" s="160">
        <v>6170.29</v>
      </c>
      <c r="H171" s="160">
        <v>6362.39</v>
      </c>
      <c r="I171" s="160">
        <v>7449.41</v>
      </c>
      <c r="J171" s="160">
        <v>12394.63</v>
      </c>
      <c r="K171" s="160">
        <v>-4245.74</v>
      </c>
      <c r="L171" s="160">
        <v>-2324.4</v>
      </c>
      <c r="M171" s="160">
        <v>5820.07</v>
      </c>
      <c r="N171" s="160">
        <v>88567.82</v>
      </c>
    </row>
    <row r="172" spans="1:14" ht="30" x14ac:dyDescent="0.25">
      <c r="A172" s="157" t="s">
        <v>219</v>
      </c>
      <c r="B172" s="160">
        <v>0</v>
      </c>
      <c r="C172" s="160">
        <v>0</v>
      </c>
      <c r="D172" s="160">
        <v>386.57</v>
      </c>
      <c r="E172" s="160">
        <v>90.93</v>
      </c>
      <c r="F172" s="160">
        <v>0</v>
      </c>
      <c r="G172" s="160">
        <v>0</v>
      </c>
      <c r="H172" s="160">
        <v>0</v>
      </c>
      <c r="I172" s="160">
        <v>0</v>
      </c>
      <c r="J172" s="160">
        <v>38.979999999999997</v>
      </c>
      <c r="K172" s="160">
        <v>0</v>
      </c>
      <c r="L172" s="160">
        <v>0</v>
      </c>
      <c r="M172" s="160">
        <v>0</v>
      </c>
      <c r="N172" s="160">
        <v>516.48</v>
      </c>
    </row>
    <row r="173" spans="1:14" x14ac:dyDescent="0.25">
      <c r="A173" s="157" t="s">
        <v>220</v>
      </c>
      <c r="B173" s="160">
        <v>0</v>
      </c>
      <c r="C173" s="160">
        <v>2372.23</v>
      </c>
      <c r="D173" s="160">
        <v>104.5</v>
      </c>
      <c r="E173" s="160">
        <v>950.64</v>
      </c>
      <c r="F173" s="160">
        <v>704.79</v>
      </c>
      <c r="G173" s="160">
        <v>32.21</v>
      </c>
      <c r="H173" s="160">
        <v>0</v>
      </c>
      <c r="I173" s="160">
        <v>9</v>
      </c>
      <c r="J173" s="160">
        <v>627</v>
      </c>
      <c r="K173" s="160">
        <v>208.63</v>
      </c>
      <c r="L173" s="160">
        <v>0</v>
      </c>
      <c r="M173" s="160">
        <v>104.5</v>
      </c>
      <c r="N173" s="160">
        <v>5113.5</v>
      </c>
    </row>
    <row r="174" spans="1:14" x14ac:dyDescent="0.25">
      <c r="A174" s="157" t="s">
        <v>121</v>
      </c>
      <c r="B174" s="160">
        <v>2252.63</v>
      </c>
      <c r="C174" s="160">
        <v>1862.07</v>
      </c>
      <c r="D174" s="160">
        <v>2056.9899999999998</v>
      </c>
      <c r="E174" s="160">
        <v>1345.81</v>
      </c>
      <c r="F174" s="160">
        <v>1352.81</v>
      </c>
      <c r="G174" s="160">
        <v>704.53</v>
      </c>
      <c r="H174" s="160">
        <v>876.94</v>
      </c>
      <c r="I174" s="160">
        <v>1516.78</v>
      </c>
      <c r="J174" s="160">
        <v>948.07</v>
      </c>
      <c r="K174" s="160">
        <v>700</v>
      </c>
      <c r="L174" s="160">
        <v>1072.24</v>
      </c>
      <c r="M174" s="160">
        <v>3079</v>
      </c>
      <c r="N174" s="160">
        <v>17767.87</v>
      </c>
    </row>
    <row r="175" spans="1:14" x14ac:dyDescent="0.25">
      <c r="A175" s="157" t="s">
        <v>221</v>
      </c>
      <c r="B175" s="160">
        <v>122496.56</v>
      </c>
      <c r="C175" s="160">
        <v>144549.49</v>
      </c>
      <c r="D175" s="160">
        <v>147905.74</v>
      </c>
      <c r="E175" s="160">
        <v>144160.01</v>
      </c>
      <c r="F175" s="160">
        <v>145668.39000000001</v>
      </c>
      <c r="G175" s="160">
        <v>142533.57</v>
      </c>
      <c r="H175" s="160">
        <v>137279.15</v>
      </c>
      <c r="I175" s="160">
        <v>136722.97</v>
      </c>
      <c r="J175" s="160">
        <v>132403.31</v>
      </c>
      <c r="K175" s="160">
        <v>144837.26</v>
      </c>
      <c r="L175" s="160">
        <v>146670.32999999999</v>
      </c>
      <c r="M175" s="160">
        <v>162670.39999999999</v>
      </c>
      <c r="N175" s="160">
        <v>1707897.18</v>
      </c>
    </row>
    <row r="176" spans="1:14" ht="30" x14ac:dyDescent="0.25">
      <c r="A176" s="157" t="s">
        <v>222</v>
      </c>
      <c r="B176" s="160">
        <v>37983.21</v>
      </c>
      <c r="C176" s="160">
        <v>40785.24</v>
      </c>
      <c r="D176" s="160">
        <v>42991.76</v>
      </c>
      <c r="E176" s="160">
        <v>48328.1</v>
      </c>
      <c r="F176" s="160">
        <v>42967.27</v>
      </c>
      <c r="G176" s="160">
        <v>39179.129999999997</v>
      </c>
      <c r="H176" s="160">
        <v>39543.9</v>
      </c>
      <c r="I176" s="160">
        <v>41910.400000000001</v>
      </c>
      <c r="J176" s="160">
        <v>47813.07</v>
      </c>
      <c r="K176" s="160">
        <v>40907.440000000002</v>
      </c>
      <c r="L176" s="160">
        <v>46100.67</v>
      </c>
      <c r="M176" s="160">
        <v>48478.68</v>
      </c>
      <c r="N176" s="160">
        <v>516988.87</v>
      </c>
    </row>
    <row r="177" spans="1:14" ht="30" x14ac:dyDescent="0.25">
      <c r="A177" s="157" t="s">
        <v>223</v>
      </c>
      <c r="B177" s="160">
        <v>17178.150000000001</v>
      </c>
      <c r="C177" s="160">
        <v>15870.24</v>
      </c>
      <c r="D177" s="160">
        <v>13392.58</v>
      </c>
      <c r="E177" s="160">
        <v>13996.19</v>
      </c>
      <c r="F177" s="160">
        <v>17358.45</v>
      </c>
      <c r="G177" s="160">
        <v>14414.01</v>
      </c>
      <c r="H177" s="160">
        <v>11263.75</v>
      </c>
      <c r="I177" s="160">
        <v>11069.01</v>
      </c>
      <c r="J177" s="160">
        <v>10222.15</v>
      </c>
      <c r="K177" s="160">
        <v>12240.56</v>
      </c>
      <c r="L177" s="160">
        <v>17059.830000000002</v>
      </c>
      <c r="M177" s="160">
        <v>15168.51</v>
      </c>
      <c r="N177" s="160">
        <v>169233.43</v>
      </c>
    </row>
    <row r="178" spans="1:14" x14ac:dyDescent="0.25">
      <c r="A178" s="157" t="s">
        <v>224</v>
      </c>
      <c r="B178" s="160">
        <v>0</v>
      </c>
      <c r="C178" s="160">
        <v>100</v>
      </c>
      <c r="D178" s="160">
        <v>0</v>
      </c>
      <c r="E178" s="160">
        <v>0</v>
      </c>
      <c r="F178" s="160">
        <v>0</v>
      </c>
      <c r="G178" s="160">
        <v>0</v>
      </c>
      <c r="H178" s="160">
        <v>100</v>
      </c>
      <c r="I178" s="160">
        <v>0</v>
      </c>
      <c r="J178" s="160">
        <v>0</v>
      </c>
      <c r="K178" s="160">
        <v>0</v>
      </c>
      <c r="L178" s="160">
        <v>0</v>
      </c>
      <c r="M178" s="160">
        <v>623.58000000000004</v>
      </c>
      <c r="N178" s="160">
        <v>823.58</v>
      </c>
    </row>
    <row r="179" spans="1:14" x14ac:dyDescent="0.25">
      <c r="A179" s="157" t="s">
        <v>122</v>
      </c>
      <c r="B179" s="160">
        <v>431.34</v>
      </c>
      <c r="C179" s="160">
        <v>528.05999999999995</v>
      </c>
      <c r="D179" s="160">
        <v>480.48</v>
      </c>
      <c r="E179" s="160">
        <v>225.42</v>
      </c>
      <c r="F179" s="160">
        <v>470.34</v>
      </c>
      <c r="G179" s="160">
        <v>452.92</v>
      </c>
      <c r="H179" s="160">
        <v>328.9</v>
      </c>
      <c r="I179" s="160">
        <v>290.42</v>
      </c>
      <c r="J179" s="160">
        <v>307.58</v>
      </c>
      <c r="K179" s="160">
        <v>276.64</v>
      </c>
      <c r="L179" s="160">
        <v>226.2</v>
      </c>
      <c r="M179" s="160">
        <v>444.81</v>
      </c>
      <c r="N179" s="160">
        <v>4463.1099999999997</v>
      </c>
    </row>
    <row r="180" spans="1:14" x14ac:dyDescent="0.25">
      <c r="A180" s="157" t="s">
        <v>225</v>
      </c>
      <c r="B180" s="160">
        <v>95259.839999999997</v>
      </c>
      <c r="C180" s="160">
        <v>107213.04</v>
      </c>
      <c r="D180" s="160">
        <v>104421.25</v>
      </c>
      <c r="E180" s="160">
        <v>121342.23</v>
      </c>
      <c r="F180" s="160">
        <v>111053</v>
      </c>
      <c r="G180" s="160">
        <v>117572.68</v>
      </c>
      <c r="H180" s="160">
        <v>98882.99</v>
      </c>
      <c r="I180" s="160">
        <v>100214.06</v>
      </c>
      <c r="J180" s="160">
        <v>107652.6</v>
      </c>
      <c r="K180" s="160">
        <v>91103.48</v>
      </c>
      <c r="L180" s="160">
        <v>109147.69</v>
      </c>
      <c r="M180" s="160">
        <v>109011.55</v>
      </c>
      <c r="N180" s="160">
        <v>1272874.4099999999</v>
      </c>
    </row>
    <row r="181" spans="1:14" x14ac:dyDescent="0.25">
      <c r="A181" s="157" t="s">
        <v>123</v>
      </c>
      <c r="B181" s="160">
        <v>0</v>
      </c>
      <c r="C181" s="160">
        <v>0</v>
      </c>
      <c r="D181" s="160">
        <v>50</v>
      </c>
      <c r="E181" s="160">
        <v>50</v>
      </c>
      <c r="F181" s="160">
        <v>0</v>
      </c>
      <c r="G181" s="160">
        <v>0</v>
      </c>
      <c r="H181" s="160">
        <v>0</v>
      </c>
      <c r="I181" s="160">
        <v>0</v>
      </c>
      <c r="J181" s="160">
        <v>75</v>
      </c>
      <c r="K181" s="160">
        <v>0</v>
      </c>
      <c r="L181" s="160">
        <v>75</v>
      </c>
      <c r="M181" s="160">
        <v>0</v>
      </c>
      <c r="N181" s="160">
        <v>250</v>
      </c>
    </row>
    <row r="182" spans="1:14" ht="30" x14ac:dyDescent="0.25">
      <c r="A182" s="157" t="s">
        <v>226</v>
      </c>
      <c r="B182" s="160">
        <v>52904.67</v>
      </c>
      <c r="C182" s="160">
        <v>54972.14</v>
      </c>
      <c r="D182" s="160">
        <v>49858.9</v>
      </c>
      <c r="E182" s="160">
        <v>49924.14</v>
      </c>
      <c r="F182" s="160">
        <v>52074.92</v>
      </c>
      <c r="G182" s="160">
        <v>54431.67</v>
      </c>
      <c r="H182" s="160">
        <v>56131.47</v>
      </c>
      <c r="I182" s="160">
        <v>53013.56</v>
      </c>
      <c r="J182" s="160">
        <v>46514.93</v>
      </c>
      <c r="K182" s="160">
        <v>40074.370000000003</v>
      </c>
      <c r="L182" s="160">
        <v>40411.019999999997</v>
      </c>
      <c r="M182" s="160">
        <v>44766.48</v>
      </c>
      <c r="N182" s="160">
        <v>595078.27</v>
      </c>
    </row>
    <row r="183" spans="1:14" x14ac:dyDescent="0.25">
      <c r="A183" s="157" t="s">
        <v>124</v>
      </c>
      <c r="B183" s="160">
        <v>0</v>
      </c>
      <c r="C183" s="160">
        <v>0</v>
      </c>
      <c r="D183" s="160">
        <v>25</v>
      </c>
      <c r="E183" s="160">
        <v>91.65</v>
      </c>
      <c r="F183" s="160">
        <v>0</v>
      </c>
      <c r="G183" s="160">
        <v>50</v>
      </c>
      <c r="H183" s="160">
        <v>41.65</v>
      </c>
      <c r="I183" s="160">
        <v>0</v>
      </c>
      <c r="J183" s="160">
        <v>0</v>
      </c>
      <c r="K183" s="160">
        <v>0</v>
      </c>
      <c r="L183" s="160">
        <v>50</v>
      </c>
      <c r="M183" s="160">
        <v>0</v>
      </c>
      <c r="N183" s="160">
        <v>258.3</v>
      </c>
    </row>
    <row r="184" spans="1:14" ht="30" x14ac:dyDescent="0.25">
      <c r="A184" s="157" t="s">
        <v>227</v>
      </c>
      <c r="B184" s="160">
        <v>55362.6</v>
      </c>
      <c r="C184" s="160">
        <v>20421.95</v>
      </c>
      <c r="D184" s="160">
        <v>12635.65</v>
      </c>
      <c r="E184" s="160">
        <v>16520.990000000002</v>
      </c>
      <c r="F184" s="160">
        <v>13332.43</v>
      </c>
      <c r="G184" s="160">
        <v>18973.8</v>
      </c>
      <c r="H184" s="160">
        <v>18116.990000000002</v>
      </c>
      <c r="I184" s="160">
        <v>27495.39</v>
      </c>
      <c r="J184" s="160">
        <v>22349.62</v>
      </c>
      <c r="K184" s="160">
        <v>22304.63</v>
      </c>
      <c r="L184" s="160">
        <v>16264.3</v>
      </c>
      <c r="M184" s="160">
        <v>33731.71</v>
      </c>
      <c r="N184" s="160">
        <v>277510.06</v>
      </c>
    </row>
    <row r="185" spans="1:14" ht="30" x14ac:dyDescent="0.25">
      <c r="A185" s="157" t="s">
        <v>228</v>
      </c>
      <c r="B185" s="160">
        <v>-4289.49</v>
      </c>
      <c r="C185" s="160">
        <v>699.06</v>
      </c>
      <c r="D185" s="160">
        <v>2239.9</v>
      </c>
      <c r="E185" s="160">
        <v>-1488.2</v>
      </c>
      <c r="F185" s="160">
        <v>3960.88</v>
      </c>
      <c r="G185" s="160">
        <v>-266.54000000000002</v>
      </c>
      <c r="H185" s="160">
        <v>-1349.86</v>
      </c>
      <c r="I185" s="160">
        <v>-5580.82</v>
      </c>
      <c r="J185" s="160">
        <v>-3598.86</v>
      </c>
      <c r="K185" s="160">
        <v>6375.32</v>
      </c>
      <c r="L185" s="160">
        <v>640.23</v>
      </c>
      <c r="M185" s="160">
        <v>851.61</v>
      </c>
      <c r="N185" s="160">
        <v>-1806.77</v>
      </c>
    </row>
    <row r="186" spans="1:14" ht="30" x14ac:dyDescent="0.25">
      <c r="A186" s="157" t="s">
        <v>229</v>
      </c>
      <c r="B186" s="160">
        <v>23381.26</v>
      </c>
      <c r="C186" s="160">
        <v>22328.97</v>
      </c>
      <c r="D186" s="160">
        <v>21796.28</v>
      </c>
      <c r="E186" s="160">
        <v>21439.84</v>
      </c>
      <c r="F186" s="160">
        <v>22330.83</v>
      </c>
      <c r="G186" s="160">
        <v>17970.900000000001</v>
      </c>
      <c r="H186" s="160">
        <v>15419.66</v>
      </c>
      <c r="I186" s="160">
        <v>13655.05</v>
      </c>
      <c r="J186" s="160">
        <v>12159.87</v>
      </c>
      <c r="K186" s="160">
        <v>12308.55</v>
      </c>
      <c r="L186" s="160">
        <v>12040.35</v>
      </c>
      <c r="M186" s="160">
        <v>13562.61</v>
      </c>
      <c r="N186" s="160">
        <v>208394.17</v>
      </c>
    </row>
    <row r="187" spans="1:14" ht="30" x14ac:dyDescent="0.25">
      <c r="A187" s="157" t="s">
        <v>230</v>
      </c>
      <c r="B187" s="160">
        <v>20922.77</v>
      </c>
      <c r="C187" s="160">
        <v>48049.82</v>
      </c>
      <c r="D187" s="160">
        <v>32484.02</v>
      </c>
      <c r="E187" s="160">
        <v>30996.07</v>
      </c>
      <c r="F187" s="160">
        <v>27635.43</v>
      </c>
      <c r="G187" s="160">
        <v>27503.24</v>
      </c>
      <c r="H187" s="160">
        <v>25498.07</v>
      </c>
      <c r="I187" s="160">
        <v>26047.96</v>
      </c>
      <c r="J187" s="160">
        <v>24808.63</v>
      </c>
      <c r="K187" s="160">
        <v>23724.880000000001</v>
      </c>
      <c r="L187" s="160">
        <v>25178.27</v>
      </c>
      <c r="M187" s="160">
        <v>27719.5</v>
      </c>
      <c r="N187" s="160">
        <v>340568.66</v>
      </c>
    </row>
    <row r="188" spans="1:14" x14ac:dyDescent="0.25">
      <c r="A188" s="157" t="s">
        <v>125</v>
      </c>
      <c r="B188" s="160">
        <v>8888.08</v>
      </c>
      <c r="C188" s="160">
        <v>9735.99</v>
      </c>
      <c r="D188" s="160">
        <v>7698.46</v>
      </c>
      <c r="E188" s="160">
        <v>9543.09</v>
      </c>
      <c r="F188" s="160">
        <v>8790.02</v>
      </c>
      <c r="G188" s="160">
        <v>6577.31</v>
      </c>
      <c r="H188" s="160">
        <v>7384.19</v>
      </c>
      <c r="I188" s="160">
        <v>5900.45</v>
      </c>
      <c r="J188" s="160">
        <v>6634.8</v>
      </c>
      <c r="K188" s="160">
        <v>6430.22</v>
      </c>
      <c r="L188" s="160">
        <v>6743.85</v>
      </c>
      <c r="M188" s="160">
        <v>10147.52</v>
      </c>
      <c r="N188" s="160">
        <v>94473.98</v>
      </c>
    </row>
    <row r="189" spans="1:14" x14ac:dyDescent="0.25">
      <c r="A189" s="157" t="s">
        <v>126</v>
      </c>
      <c r="B189" s="166">
        <v>15164.69</v>
      </c>
      <c r="C189" s="166">
        <v>19646.43</v>
      </c>
      <c r="D189" s="166">
        <v>7951.97</v>
      </c>
      <c r="E189" s="166">
        <v>1570.58</v>
      </c>
      <c r="F189" s="166">
        <v>20621.21</v>
      </c>
      <c r="G189" s="166">
        <v>23188.51</v>
      </c>
      <c r="H189" s="166">
        <v>5279.72</v>
      </c>
      <c r="I189" s="166">
        <v>1116.07</v>
      </c>
      <c r="J189" s="166">
        <v>16537.849999999999</v>
      </c>
      <c r="K189" s="166">
        <v>8734.33</v>
      </c>
      <c r="L189" s="166">
        <v>13399.87</v>
      </c>
      <c r="M189" s="166">
        <v>31090.55</v>
      </c>
      <c r="N189" s="166">
        <v>164301.78</v>
      </c>
    </row>
    <row r="190" spans="1:14" x14ac:dyDescent="0.25">
      <c r="A190" s="157" t="s">
        <v>127</v>
      </c>
      <c r="B190" s="160">
        <f t="shared" ref="B190:N190" si="24">SUM(B171:B189)</f>
        <v>461487.31</v>
      </c>
      <c r="C190" s="160">
        <f t="shared" si="24"/>
        <v>500273.61</v>
      </c>
      <c r="D190" s="160">
        <f t="shared" si="24"/>
        <v>456961.40000000008</v>
      </c>
      <c r="E190" s="160">
        <f t="shared" si="24"/>
        <v>469593.70000000013</v>
      </c>
      <c r="F190" s="160">
        <f t="shared" si="24"/>
        <v>479584.50000000006</v>
      </c>
      <c r="G190" s="160">
        <f t="shared" si="24"/>
        <v>469488.23000000004</v>
      </c>
      <c r="H190" s="160">
        <f t="shared" si="24"/>
        <v>421159.91</v>
      </c>
      <c r="I190" s="160">
        <f t="shared" si="24"/>
        <v>420829.71000000008</v>
      </c>
      <c r="J190" s="160">
        <f t="shared" si="24"/>
        <v>437889.23</v>
      </c>
      <c r="K190" s="160">
        <f t="shared" si="24"/>
        <v>405980.57</v>
      </c>
      <c r="L190" s="160">
        <f t="shared" si="24"/>
        <v>432755.44999999995</v>
      </c>
      <c r="M190" s="160">
        <f t="shared" si="24"/>
        <v>507271.07999999996</v>
      </c>
      <c r="N190" s="160">
        <f t="shared" si="24"/>
        <v>5463274.7000000002</v>
      </c>
    </row>
    <row r="191" spans="1:14" x14ac:dyDescent="0.25">
      <c r="A191" s="157"/>
      <c r="B191" s="161"/>
      <c r="C191" s="161"/>
      <c r="D191" s="161"/>
      <c r="E191" s="161"/>
      <c r="F191" s="161"/>
      <c r="G191" s="161"/>
      <c r="H191" s="161"/>
      <c r="I191" s="161"/>
      <c r="J191" s="161"/>
      <c r="K191" s="161"/>
      <c r="L191" s="161"/>
      <c r="M191" s="161"/>
      <c r="N191" s="161"/>
    </row>
    <row r="192" spans="1:14" x14ac:dyDescent="0.25">
      <c r="A192" s="157" t="s">
        <v>231</v>
      </c>
      <c r="B192" s="160">
        <v>1135195.98</v>
      </c>
      <c r="C192" s="160">
        <v>1215603.1000000001</v>
      </c>
      <c r="D192" s="160">
        <v>1165844.95</v>
      </c>
      <c r="E192" s="160">
        <v>1180869.3999999999</v>
      </c>
      <c r="F192" s="160">
        <v>1116165.57</v>
      </c>
      <c r="G192" s="160">
        <v>1003253.73</v>
      </c>
      <c r="H192" s="160">
        <v>961751.5</v>
      </c>
      <c r="I192" s="160">
        <v>988298.25</v>
      </c>
      <c r="J192" s="160">
        <v>998758.9</v>
      </c>
      <c r="K192" s="160">
        <v>981597.52</v>
      </c>
      <c r="L192" s="160">
        <v>1013458.83</v>
      </c>
      <c r="M192" s="160">
        <v>944551.95</v>
      </c>
      <c r="N192" s="160">
        <v>12705349.68</v>
      </c>
    </row>
    <row r="193" spans="1:14" x14ac:dyDescent="0.25">
      <c r="A193" s="157" t="s">
        <v>232</v>
      </c>
      <c r="B193" s="160">
        <v>1382717.95</v>
      </c>
      <c r="C193" s="160">
        <v>1449885.01</v>
      </c>
      <c r="D193" s="160">
        <v>1173928.67</v>
      </c>
      <c r="E193" s="160">
        <v>1484629.05</v>
      </c>
      <c r="F193" s="160">
        <v>1396258.53</v>
      </c>
      <c r="G193" s="160">
        <v>1569124.48</v>
      </c>
      <c r="H193" s="160">
        <v>1444648.75</v>
      </c>
      <c r="I193" s="160">
        <v>1530583.03</v>
      </c>
      <c r="J193" s="160">
        <v>1577186.59</v>
      </c>
      <c r="K193" s="160">
        <v>1376690.14</v>
      </c>
      <c r="L193" s="160">
        <v>1578821.71</v>
      </c>
      <c r="M193" s="160">
        <v>1502786.26</v>
      </c>
      <c r="N193" s="160">
        <v>17467260.170000002</v>
      </c>
    </row>
    <row r="194" spans="1:14" x14ac:dyDescent="0.25">
      <c r="A194" s="157" t="s">
        <v>233</v>
      </c>
      <c r="B194" s="160">
        <v>445830.69</v>
      </c>
      <c r="C194" s="160">
        <v>564126.93000000005</v>
      </c>
      <c r="D194" s="160">
        <v>495978.08</v>
      </c>
      <c r="E194" s="160">
        <v>510270.29</v>
      </c>
      <c r="F194" s="160">
        <v>516400.13</v>
      </c>
      <c r="G194" s="160">
        <v>502291.95</v>
      </c>
      <c r="H194" s="160">
        <v>440647.69</v>
      </c>
      <c r="I194" s="160">
        <v>463506.56</v>
      </c>
      <c r="J194" s="160">
        <v>486502.52</v>
      </c>
      <c r="K194" s="160">
        <v>458060.57</v>
      </c>
      <c r="L194" s="160">
        <v>480271.42</v>
      </c>
      <c r="M194" s="160">
        <v>474516.33</v>
      </c>
      <c r="N194" s="160">
        <v>5838403.1600000001</v>
      </c>
    </row>
    <row r="195" spans="1:14" x14ac:dyDescent="0.25">
      <c r="A195" s="157" t="s">
        <v>234</v>
      </c>
      <c r="B195" s="160">
        <v>10052.5</v>
      </c>
      <c r="C195" s="160">
        <v>13098.89</v>
      </c>
      <c r="D195" s="160">
        <v>49237.35</v>
      </c>
      <c r="E195" s="160">
        <v>33801.410000000003</v>
      </c>
      <c r="F195" s="160">
        <v>24210.16</v>
      </c>
      <c r="G195" s="160">
        <v>24276.84</v>
      </c>
      <c r="H195" s="160">
        <v>21902.65</v>
      </c>
      <c r="I195" s="160">
        <v>19774.12</v>
      </c>
      <c r="J195" s="160">
        <v>21791.52</v>
      </c>
      <c r="K195" s="160">
        <v>20111.88</v>
      </c>
      <c r="L195" s="160">
        <v>18775.27</v>
      </c>
      <c r="M195" s="160">
        <v>17703.07</v>
      </c>
      <c r="N195" s="160">
        <v>274735.65999999997</v>
      </c>
    </row>
    <row r="196" spans="1:14" x14ac:dyDescent="0.25">
      <c r="A196" s="157" t="s">
        <v>235</v>
      </c>
      <c r="B196" s="160">
        <v>0</v>
      </c>
      <c r="C196" s="160">
        <v>0</v>
      </c>
      <c r="D196" s="160">
        <v>0</v>
      </c>
      <c r="E196" s="160">
        <v>0</v>
      </c>
      <c r="F196" s="160">
        <v>3118.18</v>
      </c>
      <c r="G196" s="160">
        <v>12411.52</v>
      </c>
      <c r="H196" s="160">
        <v>10051.86</v>
      </c>
      <c r="I196" s="160">
        <v>10805.71</v>
      </c>
      <c r="J196" s="160">
        <v>14322.82</v>
      </c>
      <c r="K196" s="160">
        <v>10567.79</v>
      </c>
      <c r="L196" s="160">
        <v>18216.560000000001</v>
      </c>
      <c r="M196" s="160">
        <v>12061.78</v>
      </c>
      <c r="N196" s="160">
        <v>91556.22</v>
      </c>
    </row>
    <row r="197" spans="1:14" x14ac:dyDescent="0.25">
      <c r="A197" s="157" t="s">
        <v>351</v>
      </c>
      <c r="B197" s="160">
        <v>0</v>
      </c>
      <c r="C197" s="160">
        <v>0</v>
      </c>
      <c r="D197" s="160">
        <v>0</v>
      </c>
      <c r="E197" s="160">
        <v>0</v>
      </c>
      <c r="F197" s="160">
        <v>0</v>
      </c>
      <c r="G197" s="160">
        <v>0</v>
      </c>
      <c r="H197" s="160">
        <v>0</v>
      </c>
      <c r="I197" s="160">
        <v>0</v>
      </c>
      <c r="J197" s="160">
        <v>0</v>
      </c>
      <c r="K197" s="160">
        <v>500</v>
      </c>
      <c r="L197" s="160">
        <v>0</v>
      </c>
      <c r="M197" s="160">
        <v>0</v>
      </c>
      <c r="N197" s="160">
        <v>500</v>
      </c>
    </row>
    <row r="198" spans="1:14" ht="30" x14ac:dyDescent="0.25">
      <c r="A198" s="157" t="s">
        <v>236</v>
      </c>
      <c r="B198" s="160">
        <v>1756.89</v>
      </c>
      <c r="C198" s="160">
        <v>0</v>
      </c>
      <c r="D198" s="160">
        <v>432.68</v>
      </c>
      <c r="E198" s="160">
        <v>0</v>
      </c>
      <c r="F198" s="160">
        <v>864</v>
      </c>
      <c r="G198" s="160">
        <v>1916.46</v>
      </c>
      <c r="H198" s="160">
        <v>623.41999999999996</v>
      </c>
      <c r="I198" s="160">
        <v>3747.61</v>
      </c>
      <c r="J198" s="160">
        <v>264</v>
      </c>
      <c r="K198" s="160">
        <v>1372.23</v>
      </c>
      <c r="L198" s="160">
        <v>0</v>
      </c>
      <c r="M198" s="160">
        <v>1504.47</v>
      </c>
      <c r="N198" s="160">
        <v>12481.76</v>
      </c>
    </row>
    <row r="199" spans="1:14" ht="30" x14ac:dyDescent="0.25">
      <c r="A199" s="157" t="s">
        <v>237</v>
      </c>
      <c r="B199" s="160">
        <v>-854.08</v>
      </c>
      <c r="C199" s="160">
        <v>914.9</v>
      </c>
      <c r="D199" s="160">
        <v>-159.71</v>
      </c>
      <c r="E199" s="160">
        <v>85.99</v>
      </c>
      <c r="F199" s="160">
        <v>150.01</v>
      </c>
      <c r="G199" s="160">
        <v>1568.57</v>
      </c>
      <c r="H199" s="160">
        <v>-1405.15</v>
      </c>
      <c r="I199" s="160">
        <v>-122.35</v>
      </c>
      <c r="J199" s="160">
        <v>-1032.26</v>
      </c>
      <c r="K199" s="160">
        <v>1282.74</v>
      </c>
      <c r="L199" s="160">
        <v>-71.77</v>
      </c>
      <c r="M199" s="160">
        <v>-96.59</v>
      </c>
      <c r="N199" s="160">
        <v>260.3</v>
      </c>
    </row>
    <row r="200" spans="1:14" x14ac:dyDescent="0.25">
      <c r="A200" s="157" t="s">
        <v>238</v>
      </c>
      <c r="B200" s="160">
        <v>336.24</v>
      </c>
      <c r="C200" s="160">
        <v>621.44000000000005</v>
      </c>
      <c r="D200" s="160">
        <v>1114.95</v>
      </c>
      <c r="E200" s="160">
        <v>1260.92</v>
      </c>
      <c r="F200" s="160">
        <v>1432.29</v>
      </c>
      <c r="G200" s="160">
        <v>1545.75</v>
      </c>
      <c r="H200" s="160">
        <v>1741.84</v>
      </c>
      <c r="I200" s="160">
        <v>1265.04</v>
      </c>
      <c r="J200" s="160">
        <v>1817.59</v>
      </c>
      <c r="K200" s="160">
        <v>1608.16</v>
      </c>
      <c r="L200" s="160">
        <v>1728.82</v>
      </c>
      <c r="M200" s="160">
        <v>1220.8399999999999</v>
      </c>
      <c r="N200" s="160">
        <v>15693.88</v>
      </c>
    </row>
    <row r="201" spans="1:14" ht="30" x14ac:dyDescent="0.25">
      <c r="A201" s="157" t="s">
        <v>239</v>
      </c>
      <c r="B201" s="160">
        <v>1799.07</v>
      </c>
      <c r="C201" s="160">
        <v>3594.27</v>
      </c>
      <c r="D201" s="160">
        <v>2705.72</v>
      </c>
      <c r="E201" s="160">
        <v>2623.88</v>
      </c>
      <c r="F201" s="160">
        <v>2177.71</v>
      </c>
      <c r="G201" s="160">
        <v>2351.38</v>
      </c>
      <c r="H201" s="160">
        <v>2424.83</v>
      </c>
      <c r="I201" s="160">
        <v>2142.44</v>
      </c>
      <c r="J201" s="160">
        <v>2416.63</v>
      </c>
      <c r="K201" s="160">
        <v>2301.9899999999998</v>
      </c>
      <c r="L201" s="160">
        <v>2460.42</v>
      </c>
      <c r="M201" s="160">
        <v>3364.73</v>
      </c>
      <c r="N201" s="160">
        <v>30363.07</v>
      </c>
    </row>
    <row r="202" spans="1:14" x14ac:dyDescent="0.25">
      <c r="A202" s="157" t="s">
        <v>128</v>
      </c>
      <c r="B202" s="160">
        <v>5670.92</v>
      </c>
      <c r="C202" s="160">
        <v>7531.28</v>
      </c>
      <c r="D202" s="160">
        <v>8035.77</v>
      </c>
      <c r="E202" s="160">
        <v>5639.74</v>
      </c>
      <c r="F202" s="160">
        <v>9395.24</v>
      </c>
      <c r="G202" s="160">
        <v>13881.28</v>
      </c>
      <c r="H202" s="160">
        <v>7187.32</v>
      </c>
      <c r="I202" s="160">
        <v>9009.99</v>
      </c>
      <c r="J202" s="160">
        <v>9195.9599999999991</v>
      </c>
      <c r="K202" s="160">
        <v>7233.9</v>
      </c>
      <c r="L202" s="160">
        <v>14131.9</v>
      </c>
      <c r="M202" s="160">
        <v>6583.12</v>
      </c>
      <c r="N202" s="160">
        <v>103496.42</v>
      </c>
    </row>
    <row r="203" spans="1:14" x14ac:dyDescent="0.25">
      <c r="A203" s="157" t="s">
        <v>129</v>
      </c>
      <c r="B203" s="160">
        <v>35735.39</v>
      </c>
      <c r="C203" s="160">
        <v>26654.99</v>
      </c>
      <c r="D203" s="160">
        <v>49339.6</v>
      </c>
      <c r="E203" s="160">
        <v>65419.09</v>
      </c>
      <c r="F203" s="160">
        <v>34827.480000000003</v>
      </c>
      <c r="G203" s="160">
        <v>46544.15</v>
      </c>
      <c r="H203" s="160">
        <v>55969.52</v>
      </c>
      <c r="I203" s="160">
        <v>34987.800000000003</v>
      </c>
      <c r="J203" s="160">
        <v>35122.639999999999</v>
      </c>
      <c r="K203" s="160">
        <v>33645.35</v>
      </c>
      <c r="L203" s="160">
        <v>44542.97</v>
      </c>
      <c r="M203" s="160">
        <v>65207.45</v>
      </c>
      <c r="N203" s="160">
        <v>527996.43000000005</v>
      </c>
    </row>
    <row r="204" spans="1:14" x14ac:dyDescent="0.25">
      <c r="A204" s="157" t="s">
        <v>240</v>
      </c>
      <c r="B204" s="160">
        <v>5122.12</v>
      </c>
      <c r="C204" s="160">
        <v>13726.48</v>
      </c>
      <c r="D204" s="160">
        <v>5914</v>
      </c>
      <c r="E204" s="160">
        <v>18874.169999999998</v>
      </c>
      <c r="F204" s="160">
        <v>14939.17</v>
      </c>
      <c r="G204" s="160">
        <v>11249</v>
      </c>
      <c r="H204" s="160">
        <v>16640.22</v>
      </c>
      <c r="I204" s="160">
        <v>18352.7</v>
      </c>
      <c r="J204" s="160">
        <v>14881.14</v>
      </c>
      <c r="K204" s="160">
        <v>9956</v>
      </c>
      <c r="L204" s="160">
        <v>20827</v>
      </c>
      <c r="M204" s="160">
        <v>-9279.25</v>
      </c>
      <c r="N204" s="160">
        <v>141202.75</v>
      </c>
    </row>
    <row r="205" spans="1:14" x14ac:dyDescent="0.25">
      <c r="A205" s="157" t="s">
        <v>241</v>
      </c>
      <c r="B205" s="160">
        <v>10192.370000000001</v>
      </c>
      <c r="C205" s="160">
        <v>18678.830000000002</v>
      </c>
      <c r="D205" s="160">
        <v>3990</v>
      </c>
      <c r="E205" s="160">
        <v>6395</v>
      </c>
      <c r="F205" s="160">
        <v>6785.72</v>
      </c>
      <c r="G205" s="160">
        <v>6130.66</v>
      </c>
      <c r="H205" s="160">
        <v>4834.1000000000004</v>
      </c>
      <c r="I205" s="160">
        <v>2806.04</v>
      </c>
      <c r="J205" s="160">
        <v>2826.74</v>
      </c>
      <c r="K205" s="160">
        <v>3216.62</v>
      </c>
      <c r="L205" s="160">
        <v>1200</v>
      </c>
      <c r="M205" s="160">
        <v>12710</v>
      </c>
      <c r="N205" s="160">
        <v>79766.080000000002</v>
      </c>
    </row>
    <row r="206" spans="1:14" x14ac:dyDescent="0.25">
      <c r="A206" s="157" t="s">
        <v>242</v>
      </c>
      <c r="B206" s="160">
        <v>87447.15</v>
      </c>
      <c r="C206" s="160">
        <v>54712.08</v>
      </c>
      <c r="D206" s="160">
        <v>63447.44</v>
      </c>
      <c r="E206" s="160">
        <v>74559.399999999994</v>
      </c>
      <c r="F206" s="160">
        <v>67674.880000000005</v>
      </c>
      <c r="G206" s="160">
        <v>71293.81</v>
      </c>
      <c r="H206" s="160">
        <v>65803.42</v>
      </c>
      <c r="I206" s="160">
        <v>55762.75</v>
      </c>
      <c r="J206" s="160">
        <v>71649.81</v>
      </c>
      <c r="K206" s="160">
        <v>50205.24</v>
      </c>
      <c r="L206" s="160">
        <v>68345.17</v>
      </c>
      <c r="M206" s="160">
        <v>-18419.669999999998</v>
      </c>
      <c r="N206" s="160">
        <v>712481.48</v>
      </c>
    </row>
    <row r="207" spans="1:14" x14ac:dyDescent="0.25">
      <c r="A207" s="157" t="s">
        <v>243</v>
      </c>
      <c r="B207" s="160">
        <v>38402.35</v>
      </c>
      <c r="C207" s="160">
        <v>46491.03</v>
      </c>
      <c r="D207" s="160">
        <v>32791.54</v>
      </c>
      <c r="E207" s="160">
        <v>57398.09</v>
      </c>
      <c r="F207" s="160">
        <v>40415.760000000002</v>
      </c>
      <c r="G207" s="160">
        <v>44060.71</v>
      </c>
      <c r="H207" s="160">
        <v>27287.69</v>
      </c>
      <c r="I207" s="160">
        <v>33743.660000000003</v>
      </c>
      <c r="J207" s="160">
        <v>51900.69</v>
      </c>
      <c r="K207" s="160">
        <v>60641.63</v>
      </c>
      <c r="L207" s="160">
        <v>34286.339999999997</v>
      </c>
      <c r="M207" s="160">
        <v>-33406.74</v>
      </c>
      <c r="N207" s="160">
        <v>434012.75</v>
      </c>
    </row>
    <row r="208" spans="1:14" x14ac:dyDescent="0.25">
      <c r="A208" s="157" t="s">
        <v>130</v>
      </c>
      <c r="B208" s="160">
        <v>350</v>
      </c>
      <c r="C208" s="160">
        <v>0</v>
      </c>
      <c r="D208" s="160">
        <v>6566.82</v>
      </c>
      <c r="E208" s="160">
        <v>0</v>
      </c>
      <c r="F208" s="160">
        <v>102</v>
      </c>
      <c r="G208" s="160">
        <v>504</v>
      </c>
      <c r="H208" s="160">
        <v>3192.99</v>
      </c>
      <c r="I208" s="160">
        <v>1085</v>
      </c>
      <c r="J208" s="160">
        <v>197</v>
      </c>
      <c r="K208" s="160">
        <v>0</v>
      </c>
      <c r="L208" s="160">
        <v>78</v>
      </c>
      <c r="M208" s="160">
        <v>0</v>
      </c>
      <c r="N208" s="160">
        <v>12075.81</v>
      </c>
    </row>
    <row r="209" spans="1:14" x14ac:dyDescent="0.25">
      <c r="A209" s="157" t="s">
        <v>131</v>
      </c>
      <c r="B209" s="160">
        <v>238881.6</v>
      </c>
      <c r="C209" s="160">
        <v>115008.28</v>
      </c>
      <c r="D209" s="160">
        <v>240988.59</v>
      </c>
      <c r="E209" s="160">
        <v>273352.82</v>
      </c>
      <c r="F209" s="160">
        <v>257875.97</v>
      </c>
      <c r="G209" s="160">
        <v>216789.36</v>
      </c>
      <c r="H209" s="160">
        <v>244893.85</v>
      </c>
      <c r="I209" s="160">
        <v>172455.21</v>
      </c>
      <c r="J209" s="160">
        <v>217129.65</v>
      </c>
      <c r="K209" s="160">
        <v>184824.14</v>
      </c>
      <c r="L209" s="160">
        <v>158283.29999999999</v>
      </c>
      <c r="M209" s="160">
        <v>-353332.9</v>
      </c>
      <c r="N209" s="160">
        <v>1967149.87</v>
      </c>
    </row>
    <row r="210" spans="1:14" ht="30" x14ac:dyDescent="0.25">
      <c r="A210" s="157" t="s">
        <v>244</v>
      </c>
      <c r="B210" s="160">
        <v>222135.73</v>
      </c>
      <c r="C210" s="160">
        <v>273505.7</v>
      </c>
      <c r="D210" s="160">
        <v>314522.40000000002</v>
      </c>
      <c r="E210" s="160">
        <v>274025.02</v>
      </c>
      <c r="F210" s="160">
        <v>274852.03000000003</v>
      </c>
      <c r="G210" s="160">
        <v>231086.17</v>
      </c>
      <c r="H210" s="160">
        <v>217681.17</v>
      </c>
      <c r="I210" s="160">
        <v>206877.29</v>
      </c>
      <c r="J210" s="160">
        <v>247996.14</v>
      </c>
      <c r="K210" s="160">
        <v>230510.02</v>
      </c>
      <c r="L210" s="160">
        <v>255947.01</v>
      </c>
      <c r="M210" s="160">
        <v>-164399.13</v>
      </c>
      <c r="N210" s="160">
        <v>2584739.5499999998</v>
      </c>
    </row>
    <row r="211" spans="1:14" x14ac:dyDescent="0.25">
      <c r="A211" s="157" t="s">
        <v>245</v>
      </c>
      <c r="B211" s="160">
        <v>415929.55</v>
      </c>
      <c r="C211" s="160">
        <v>454269.59</v>
      </c>
      <c r="D211" s="160">
        <v>506796.32</v>
      </c>
      <c r="E211" s="160">
        <v>483792.13</v>
      </c>
      <c r="F211" s="160">
        <v>473298.48</v>
      </c>
      <c r="G211" s="160">
        <v>360136.51</v>
      </c>
      <c r="H211" s="160">
        <v>335497.18</v>
      </c>
      <c r="I211" s="160">
        <v>334705.96999999997</v>
      </c>
      <c r="J211" s="160">
        <v>365380.63</v>
      </c>
      <c r="K211" s="160">
        <v>370181.75</v>
      </c>
      <c r="L211" s="160">
        <v>372483.91</v>
      </c>
      <c r="M211" s="160">
        <v>40142.92</v>
      </c>
      <c r="N211" s="160">
        <v>4512614.9400000004</v>
      </c>
    </row>
    <row r="212" spans="1:14" x14ac:dyDescent="0.25">
      <c r="A212" s="157" t="s">
        <v>246</v>
      </c>
      <c r="B212" s="160">
        <v>10104.75</v>
      </c>
      <c r="C212" s="160">
        <v>16289.42</v>
      </c>
      <c r="D212" s="160">
        <v>0</v>
      </c>
      <c r="E212" s="160">
        <v>0</v>
      </c>
      <c r="F212" s="160">
        <v>0</v>
      </c>
      <c r="G212" s="160">
        <v>0</v>
      </c>
      <c r="H212" s="160">
        <v>0</v>
      </c>
      <c r="I212" s="160">
        <v>0</v>
      </c>
      <c r="J212" s="160">
        <v>0</v>
      </c>
      <c r="K212" s="160">
        <v>81310.16</v>
      </c>
      <c r="L212" s="160">
        <v>5833.72</v>
      </c>
      <c r="M212" s="160">
        <v>0</v>
      </c>
      <c r="N212" s="160">
        <v>113538.05</v>
      </c>
    </row>
    <row r="213" spans="1:14" ht="30" x14ac:dyDescent="0.25">
      <c r="A213" s="157" t="s">
        <v>247</v>
      </c>
      <c r="B213" s="160">
        <v>46881.17</v>
      </c>
      <c r="C213" s="160">
        <v>33489.800000000003</v>
      </c>
      <c r="D213" s="160">
        <v>22007.88</v>
      </c>
      <c r="E213" s="160">
        <v>21929.41</v>
      </c>
      <c r="F213" s="160">
        <v>33588.75</v>
      </c>
      <c r="G213" s="160">
        <v>51988.04</v>
      </c>
      <c r="H213" s="160">
        <v>20125.900000000001</v>
      </c>
      <c r="I213" s="160">
        <v>24724.63</v>
      </c>
      <c r="J213" s="160">
        <v>31136.38</v>
      </c>
      <c r="K213" s="160">
        <v>39416.14</v>
      </c>
      <c r="L213" s="160">
        <v>42139.16</v>
      </c>
      <c r="M213" s="160">
        <v>8441.06</v>
      </c>
      <c r="N213" s="160">
        <v>375868.32</v>
      </c>
    </row>
    <row r="214" spans="1:14" x14ac:dyDescent="0.25">
      <c r="A214" s="157" t="s">
        <v>134</v>
      </c>
      <c r="B214" s="160">
        <v>61.36</v>
      </c>
      <c r="C214" s="160">
        <v>0</v>
      </c>
      <c r="D214" s="160">
        <v>0</v>
      </c>
      <c r="E214" s="160">
        <v>0</v>
      </c>
      <c r="F214" s="160">
        <v>0</v>
      </c>
      <c r="G214" s="160">
        <v>0</v>
      </c>
      <c r="H214" s="160">
        <v>0</v>
      </c>
      <c r="I214" s="160">
        <v>0</v>
      </c>
      <c r="J214" s="160">
        <v>0</v>
      </c>
      <c r="K214" s="160">
        <v>0</v>
      </c>
      <c r="L214" s="160">
        <v>0</v>
      </c>
      <c r="M214" s="160">
        <v>0</v>
      </c>
      <c r="N214" s="160">
        <v>61.36</v>
      </c>
    </row>
    <row r="215" spans="1:14" x14ac:dyDescent="0.25">
      <c r="A215" s="157" t="s">
        <v>132</v>
      </c>
      <c r="B215" s="160">
        <v>1200</v>
      </c>
      <c r="C215" s="160">
        <v>0</v>
      </c>
      <c r="D215" s="160">
        <v>0</v>
      </c>
      <c r="E215" s="160">
        <v>0</v>
      </c>
      <c r="F215" s="160">
        <v>0</v>
      </c>
      <c r="G215" s="160">
        <v>0</v>
      </c>
      <c r="H215" s="160">
        <v>0</v>
      </c>
      <c r="I215" s="160">
        <v>0</v>
      </c>
      <c r="J215" s="160">
        <v>0</v>
      </c>
      <c r="K215" s="160">
        <v>0</v>
      </c>
      <c r="L215" s="160">
        <v>0</v>
      </c>
      <c r="M215" s="160">
        <v>0</v>
      </c>
      <c r="N215" s="160">
        <v>1200</v>
      </c>
    </row>
    <row r="216" spans="1:14" x14ac:dyDescent="0.25">
      <c r="A216" s="157" t="s">
        <v>133</v>
      </c>
      <c r="B216" s="160">
        <v>416.24</v>
      </c>
      <c r="C216" s="160">
        <v>20.98</v>
      </c>
      <c r="D216" s="160">
        <v>0</v>
      </c>
      <c r="E216" s="160">
        <v>290.95999999999998</v>
      </c>
      <c r="F216" s="160">
        <v>0</v>
      </c>
      <c r="G216" s="160">
        <v>0</v>
      </c>
      <c r="H216" s="160">
        <v>0</v>
      </c>
      <c r="I216" s="160">
        <v>0</v>
      </c>
      <c r="J216" s="160">
        <v>0</v>
      </c>
      <c r="K216" s="160">
        <v>0</v>
      </c>
      <c r="L216" s="160">
        <v>0</v>
      </c>
      <c r="M216" s="160">
        <v>0</v>
      </c>
      <c r="N216" s="160">
        <v>728.18</v>
      </c>
    </row>
    <row r="217" spans="1:14" x14ac:dyDescent="0.25">
      <c r="A217" s="157" t="s">
        <v>135</v>
      </c>
      <c r="B217" s="160">
        <v>91331.77</v>
      </c>
      <c r="C217" s="160">
        <v>104258.7</v>
      </c>
      <c r="D217" s="160">
        <v>163099.79999999999</v>
      </c>
      <c r="E217" s="160">
        <v>113851.13</v>
      </c>
      <c r="F217" s="160">
        <v>66904.06</v>
      </c>
      <c r="G217" s="160">
        <v>120193.17</v>
      </c>
      <c r="H217" s="160">
        <v>79037.919999999998</v>
      </c>
      <c r="I217" s="160">
        <v>89388.43</v>
      </c>
      <c r="J217" s="160">
        <v>94150.080000000002</v>
      </c>
      <c r="K217" s="160">
        <v>67768.06</v>
      </c>
      <c r="L217" s="160">
        <v>74426.259999999995</v>
      </c>
      <c r="M217" s="160">
        <v>38656.94</v>
      </c>
      <c r="N217" s="160">
        <v>1103066.32</v>
      </c>
    </row>
    <row r="218" spans="1:14" x14ac:dyDescent="0.25">
      <c r="A218" s="157" t="s">
        <v>136</v>
      </c>
      <c r="B218" s="160">
        <v>-11300</v>
      </c>
      <c r="C218" s="160">
        <v>-6768.47</v>
      </c>
      <c r="D218" s="160">
        <v>0</v>
      </c>
      <c r="E218" s="160">
        <v>0</v>
      </c>
      <c r="F218" s="160">
        <v>0</v>
      </c>
      <c r="G218" s="160">
        <v>0</v>
      </c>
      <c r="H218" s="160">
        <v>0</v>
      </c>
      <c r="I218" s="160">
        <v>0</v>
      </c>
      <c r="J218" s="160">
        <v>0</v>
      </c>
      <c r="K218" s="160">
        <v>0</v>
      </c>
      <c r="L218" s="160">
        <v>0</v>
      </c>
      <c r="M218" s="160">
        <v>0</v>
      </c>
      <c r="N218" s="160">
        <v>-18068.47</v>
      </c>
    </row>
    <row r="219" spans="1:14" x14ac:dyDescent="0.25">
      <c r="A219" s="157" t="s">
        <v>248</v>
      </c>
      <c r="B219" s="160">
        <v>74741.710000000006</v>
      </c>
      <c r="C219" s="160">
        <v>60798.62</v>
      </c>
      <c r="D219" s="160">
        <v>60951.28</v>
      </c>
      <c r="E219" s="160">
        <v>99954.51</v>
      </c>
      <c r="F219" s="160">
        <v>68713.08</v>
      </c>
      <c r="G219" s="160">
        <v>71063.81</v>
      </c>
      <c r="H219" s="160">
        <v>73718.25</v>
      </c>
      <c r="I219" s="160">
        <v>47866.06</v>
      </c>
      <c r="J219" s="160">
        <v>71469.66</v>
      </c>
      <c r="K219" s="160">
        <v>58503.81</v>
      </c>
      <c r="L219" s="160">
        <v>44631.38</v>
      </c>
      <c r="M219" s="160">
        <v>7245.94</v>
      </c>
      <c r="N219" s="160">
        <v>739658.11</v>
      </c>
    </row>
    <row r="220" spans="1:14" ht="30" x14ac:dyDescent="0.25">
      <c r="A220" s="157" t="s">
        <v>250</v>
      </c>
      <c r="B220" s="160">
        <v>46918.1</v>
      </c>
      <c r="C220" s="160">
        <v>44261.58</v>
      </c>
      <c r="D220" s="160">
        <v>52088.72</v>
      </c>
      <c r="E220" s="160">
        <v>45571.57</v>
      </c>
      <c r="F220" s="160">
        <v>1151.48</v>
      </c>
      <c r="G220" s="160">
        <v>45744.959999999999</v>
      </c>
      <c r="H220" s="160">
        <v>31504.77</v>
      </c>
      <c r="I220" s="160">
        <v>26823.29</v>
      </c>
      <c r="J220" s="160">
        <v>37392.76</v>
      </c>
      <c r="K220" s="160">
        <v>38665.11</v>
      </c>
      <c r="L220" s="160">
        <v>42065.66</v>
      </c>
      <c r="M220" s="160">
        <v>86962.57</v>
      </c>
      <c r="N220" s="160">
        <v>499150.57</v>
      </c>
    </row>
    <row r="221" spans="1:14" x14ac:dyDescent="0.25">
      <c r="A221" s="157" t="s">
        <v>137</v>
      </c>
      <c r="B221" s="160">
        <v>92157.87</v>
      </c>
      <c r="C221" s="160">
        <v>94492.06</v>
      </c>
      <c r="D221" s="160">
        <v>73214.53</v>
      </c>
      <c r="E221" s="160">
        <v>98694.41</v>
      </c>
      <c r="F221" s="160">
        <v>108472.38</v>
      </c>
      <c r="G221" s="160">
        <v>101817.74</v>
      </c>
      <c r="H221" s="160">
        <v>84153.02</v>
      </c>
      <c r="I221" s="160">
        <v>72364.679999999993</v>
      </c>
      <c r="J221" s="160">
        <v>73972.820000000007</v>
      </c>
      <c r="K221" s="160">
        <v>71017.81</v>
      </c>
      <c r="L221" s="160">
        <v>71704.7</v>
      </c>
      <c r="M221" s="160">
        <v>156666.29999999999</v>
      </c>
      <c r="N221" s="160">
        <v>1098728.32</v>
      </c>
    </row>
    <row r="222" spans="1:14" x14ac:dyDescent="0.25">
      <c r="A222" s="157" t="s">
        <v>251</v>
      </c>
      <c r="B222" s="166">
        <v>53610.52</v>
      </c>
      <c r="C222" s="166">
        <v>38551.870000000003</v>
      </c>
      <c r="D222" s="166">
        <v>40968.629999999997</v>
      </c>
      <c r="E222" s="166">
        <v>59611.4</v>
      </c>
      <c r="F222" s="166">
        <v>47794.98</v>
      </c>
      <c r="G222" s="166">
        <v>47624.39</v>
      </c>
      <c r="H222" s="166">
        <v>38818.43</v>
      </c>
      <c r="I222" s="166">
        <v>43083.16</v>
      </c>
      <c r="J222" s="166">
        <v>44933.35</v>
      </c>
      <c r="K222" s="166">
        <v>42358.5</v>
      </c>
      <c r="L222" s="166">
        <v>37408.06</v>
      </c>
      <c r="M222" s="166">
        <v>73439</v>
      </c>
      <c r="N222" s="166">
        <v>568202.29</v>
      </c>
    </row>
    <row r="223" spans="1:14" x14ac:dyDescent="0.25">
      <c r="A223" s="157" t="s">
        <v>138</v>
      </c>
      <c r="B223" s="160">
        <f t="shared" ref="B223:N223" si="25">SUM(B191:B222)</f>
        <v>4442825.9099999992</v>
      </c>
      <c r="C223" s="160">
        <f t="shared" si="25"/>
        <v>4643817.3600000013</v>
      </c>
      <c r="D223" s="160">
        <f t="shared" si="25"/>
        <v>4533806.0100000007</v>
      </c>
      <c r="E223" s="160">
        <f t="shared" si="25"/>
        <v>4912899.790000001</v>
      </c>
      <c r="F223" s="160">
        <f t="shared" si="25"/>
        <v>4567568.040000001</v>
      </c>
      <c r="G223" s="160">
        <f t="shared" si="25"/>
        <v>4558848.4399999985</v>
      </c>
      <c r="H223" s="160">
        <f t="shared" si="25"/>
        <v>4188733.14</v>
      </c>
      <c r="I223" s="160">
        <f t="shared" si="25"/>
        <v>4194037.0700000008</v>
      </c>
      <c r="J223" s="160">
        <f t="shared" si="25"/>
        <v>4471363.76</v>
      </c>
      <c r="K223" s="160">
        <f t="shared" si="25"/>
        <v>4203547.2600000016</v>
      </c>
      <c r="L223" s="160">
        <f t="shared" si="25"/>
        <v>4401995.8</v>
      </c>
      <c r="M223" s="160">
        <f t="shared" si="25"/>
        <v>2874830.4499999997</v>
      </c>
      <c r="N223" s="160">
        <f t="shared" si="25"/>
        <v>51994273.029999986</v>
      </c>
    </row>
    <row r="224" spans="1:14" x14ac:dyDescent="0.25">
      <c r="A224" s="157"/>
      <c r="B224" s="161"/>
      <c r="C224" s="161"/>
      <c r="D224" s="161"/>
      <c r="E224" s="161"/>
      <c r="F224" s="161"/>
      <c r="G224" s="161"/>
      <c r="H224" s="161"/>
      <c r="I224" s="161"/>
      <c r="J224" s="161"/>
      <c r="K224" s="161"/>
      <c r="L224" s="161"/>
      <c r="M224" s="161"/>
      <c r="N224" s="161"/>
    </row>
    <row r="225" spans="1:14" x14ac:dyDescent="0.25">
      <c r="A225" s="157" t="s">
        <v>252</v>
      </c>
      <c r="B225" s="160">
        <v>73887.17</v>
      </c>
      <c r="C225" s="160">
        <v>77095.08</v>
      </c>
      <c r="D225" s="160">
        <v>70928.350000000006</v>
      </c>
      <c r="E225" s="160">
        <v>69124.56</v>
      </c>
      <c r="F225" s="160">
        <v>11579.4</v>
      </c>
      <c r="G225" s="160">
        <v>0</v>
      </c>
      <c r="H225" s="160">
        <v>0</v>
      </c>
      <c r="I225" s="160">
        <v>0</v>
      </c>
      <c r="J225" s="160">
        <v>0</v>
      </c>
      <c r="K225" s="160">
        <v>0</v>
      </c>
      <c r="L225" s="160">
        <v>0</v>
      </c>
      <c r="M225" s="160">
        <v>0</v>
      </c>
      <c r="N225" s="160">
        <v>302614.56</v>
      </c>
    </row>
    <row r="226" spans="1:14" x14ac:dyDescent="0.25">
      <c r="A226" s="157" t="s">
        <v>253</v>
      </c>
      <c r="B226" s="160">
        <v>137697.28</v>
      </c>
      <c r="C226" s="160">
        <v>156806.59</v>
      </c>
      <c r="D226" s="160">
        <v>156530.82999999999</v>
      </c>
      <c r="E226" s="160">
        <v>156530.82999999999</v>
      </c>
      <c r="F226" s="160">
        <v>319625.27</v>
      </c>
      <c r="G226" s="160">
        <v>338001.67</v>
      </c>
      <c r="H226" s="160">
        <v>341784.99</v>
      </c>
      <c r="I226" s="160">
        <v>333345.51</v>
      </c>
      <c r="J226" s="160">
        <v>333405.51</v>
      </c>
      <c r="K226" s="160">
        <v>338408.38</v>
      </c>
      <c r="L226" s="160">
        <v>334982.05</v>
      </c>
      <c r="M226" s="160">
        <v>428652.33</v>
      </c>
      <c r="N226" s="160">
        <v>3375771.24</v>
      </c>
    </row>
    <row r="227" spans="1:14" x14ac:dyDescent="0.25">
      <c r="A227" s="157" t="s">
        <v>254</v>
      </c>
      <c r="B227" s="160">
        <v>16388.599999999999</v>
      </c>
      <c r="C227" s="160">
        <v>12711.64</v>
      </c>
      <c r="D227" s="160">
        <v>14367.35</v>
      </c>
      <c r="E227" s="160">
        <v>15985.41</v>
      </c>
      <c r="F227" s="160">
        <v>6555.37</v>
      </c>
      <c r="G227" s="160">
        <v>5507.02</v>
      </c>
      <c r="H227" s="160">
        <v>14839.01</v>
      </c>
      <c r="I227" s="160">
        <v>-3045.01</v>
      </c>
      <c r="J227" s="160">
        <v>447.37</v>
      </c>
      <c r="K227" s="160">
        <v>390.75</v>
      </c>
      <c r="L227" s="160">
        <v>121.85</v>
      </c>
      <c r="M227" s="160">
        <v>0</v>
      </c>
      <c r="N227" s="160">
        <v>84269.36</v>
      </c>
    </row>
    <row r="228" spans="1:14" x14ac:dyDescent="0.25">
      <c r="A228" s="157" t="s">
        <v>255</v>
      </c>
      <c r="B228" s="160">
        <v>32955.21</v>
      </c>
      <c r="C228" s="160">
        <v>14088.24</v>
      </c>
      <c r="D228" s="160">
        <v>21155.89</v>
      </c>
      <c r="E228" s="160">
        <v>10928.95</v>
      </c>
      <c r="F228" s="160">
        <v>7060.24</v>
      </c>
      <c r="G228" s="160">
        <v>16092.45</v>
      </c>
      <c r="H228" s="160">
        <v>22385.1</v>
      </c>
      <c r="I228" s="160">
        <v>7783.44</v>
      </c>
      <c r="J228" s="160">
        <v>64512.61</v>
      </c>
      <c r="K228" s="160">
        <v>9988.57</v>
      </c>
      <c r="L228" s="160">
        <v>12663.63</v>
      </c>
      <c r="M228" s="160">
        <v>24314.45</v>
      </c>
      <c r="N228" s="160">
        <v>243928.78</v>
      </c>
    </row>
    <row r="229" spans="1:14" x14ac:dyDescent="0.25">
      <c r="A229" s="157" t="s">
        <v>256</v>
      </c>
      <c r="B229" s="160">
        <v>232498.37</v>
      </c>
      <c r="C229" s="160">
        <v>239636.72</v>
      </c>
      <c r="D229" s="160">
        <v>220517.27</v>
      </c>
      <c r="E229" s="160">
        <v>209557.34</v>
      </c>
      <c r="F229" s="160">
        <v>34445.160000000003</v>
      </c>
      <c r="G229" s="160">
        <v>48.02</v>
      </c>
      <c r="H229" s="160">
        <v>22.16</v>
      </c>
      <c r="I229" s="160">
        <v>0</v>
      </c>
      <c r="J229" s="160">
        <v>0</v>
      </c>
      <c r="K229" s="160">
        <v>0</v>
      </c>
      <c r="L229" s="160">
        <v>0</v>
      </c>
      <c r="M229" s="160">
        <v>0</v>
      </c>
      <c r="N229" s="160">
        <v>936725.04</v>
      </c>
    </row>
    <row r="230" spans="1:14" x14ac:dyDescent="0.25">
      <c r="A230" s="157" t="s">
        <v>257</v>
      </c>
      <c r="B230" s="160">
        <v>188633.2</v>
      </c>
      <c r="C230" s="160">
        <v>211704.19</v>
      </c>
      <c r="D230" s="160">
        <v>213654.19</v>
      </c>
      <c r="E230" s="160">
        <v>211704.19</v>
      </c>
      <c r="F230" s="160">
        <v>422143.05</v>
      </c>
      <c r="G230" s="160">
        <v>462633.62</v>
      </c>
      <c r="H230" s="160">
        <v>466922.94</v>
      </c>
      <c r="I230" s="160">
        <v>458756.92</v>
      </c>
      <c r="J230" s="160">
        <v>452572.01</v>
      </c>
      <c r="K230" s="160">
        <v>457667.48</v>
      </c>
      <c r="L230" s="160">
        <v>454169.07</v>
      </c>
      <c r="M230" s="160">
        <v>551929.65</v>
      </c>
      <c r="N230" s="160">
        <v>4552490.51</v>
      </c>
    </row>
    <row r="231" spans="1:14" x14ac:dyDescent="0.25">
      <c r="A231" s="157" t="s">
        <v>258</v>
      </c>
      <c r="B231" s="160">
        <v>54187.38</v>
      </c>
      <c r="C231" s="160">
        <v>49032.08</v>
      </c>
      <c r="D231" s="160">
        <v>38114.050000000003</v>
      </c>
      <c r="E231" s="160">
        <v>46616.61</v>
      </c>
      <c r="F231" s="160">
        <v>13660.3</v>
      </c>
      <c r="G231" s="160">
        <v>19028.82</v>
      </c>
      <c r="H231" s="160">
        <v>22542.84</v>
      </c>
      <c r="I231" s="160">
        <v>-3660.96</v>
      </c>
      <c r="J231" s="160">
        <v>8501.9599999999991</v>
      </c>
      <c r="K231" s="160">
        <v>7470.01</v>
      </c>
      <c r="L231" s="160">
        <v>6356.34</v>
      </c>
      <c r="M231" s="160">
        <v>6272.41</v>
      </c>
      <c r="N231" s="160">
        <v>268121.84000000003</v>
      </c>
    </row>
    <row r="232" spans="1:14" x14ac:dyDescent="0.25">
      <c r="A232" s="157" t="s">
        <v>259</v>
      </c>
      <c r="B232" s="160">
        <v>0</v>
      </c>
      <c r="C232" s="160">
        <v>25</v>
      </c>
      <c r="D232" s="160">
        <v>12.01</v>
      </c>
      <c r="E232" s="160">
        <v>51.3</v>
      </c>
      <c r="F232" s="160">
        <v>0</v>
      </c>
      <c r="G232" s="160">
        <v>0</v>
      </c>
      <c r="H232" s="160">
        <v>0</v>
      </c>
      <c r="I232" s="160">
        <v>0</v>
      </c>
      <c r="J232" s="160">
        <v>0</v>
      </c>
      <c r="K232" s="160">
        <v>0</v>
      </c>
      <c r="L232" s="160">
        <v>0</v>
      </c>
      <c r="M232" s="160">
        <v>0</v>
      </c>
      <c r="N232" s="160">
        <v>88.31</v>
      </c>
    </row>
    <row r="233" spans="1:14" ht="30" x14ac:dyDescent="0.25">
      <c r="A233" s="157" t="s">
        <v>260</v>
      </c>
      <c r="B233" s="160">
        <v>47575.48</v>
      </c>
      <c r="C233" s="160">
        <v>17858.89</v>
      </c>
      <c r="D233" s="160">
        <v>12552.25</v>
      </c>
      <c r="E233" s="160">
        <v>37171.75</v>
      </c>
      <c r="F233" s="160">
        <v>15401.56</v>
      </c>
      <c r="G233" s="160">
        <v>210</v>
      </c>
      <c r="H233" s="160">
        <v>0</v>
      </c>
      <c r="I233" s="160">
        <v>0</v>
      </c>
      <c r="J233" s="160">
        <v>0</v>
      </c>
      <c r="K233" s="160">
        <v>0</v>
      </c>
      <c r="L233" s="160">
        <v>0</v>
      </c>
      <c r="M233" s="160">
        <v>0</v>
      </c>
      <c r="N233" s="160">
        <v>130769.93</v>
      </c>
    </row>
    <row r="234" spans="1:14" ht="30" x14ac:dyDescent="0.25">
      <c r="A234" s="157" t="s">
        <v>261</v>
      </c>
      <c r="B234" s="160">
        <v>-5290.81</v>
      </c>
      <c r="C234" s="160">
        <v>936.05</v>
      </c>
      <c r="D234" s="160">
        <v>-2036.05</v>
      </c>
      <c r="E234" s="160">
        <v>-20524.009999999998</v>
      </c>
      <c r="F234" s="160">
        <v>-11547.24</v>
      </c>
      <c r="G234" s="160">
        <v>0</v>
      </c>
      <c r="H234" s="160">
        <v>0</v>
      </c>
      <c r="I234" s="160">
        <v>0</v>
      </c>
      <c r="J234" s="160">
        <v>0</v>
      </c>
      <c r="K234" s="160">
        <v>0</v>
      </c>
      <c r="L234" s="160">
        <v>0</v>
      </c>
      <c r="M234" s="160">
        <v>0</v>
      </c>
      <c r="N234" s="160">
        <v>-38462.06</v>
      </c>
    </row>
    <row r="235" spans="1:14" ht="30" x14ac:dyDescent="0.25">
      <c r="A235" s="157" t="s">
        <v>262</v>
      </c>
      <c r="B235" s="160">
        <v>11220.48</v>
      </c>
      <c r="C235" s="160">
        <v>10683.94</v>
      </c>
      <c r="D235" s="160">
        <v>9410.52</v>
      </c>
      <c r="E235" s="160">
        <v>9253.01</v>
      </c>
      <c r="F235" s="160">
        <v>3174.5</v>
      </c>
      <c r="G235" s="160">
        <v>0</v>
      </c>
      <c r="H235" s="160">
        <v>0</v>
      </c>
      <c r="I235" s="160">
        <v>0</v>
      </c>
      <c r="J235" s="160">
        <v>0</v>
      </c>
      <c r="K235" s="160">
        <v>0</v>
      </c>
      <c r="L235" s="160">
        <v>0</v>
      </c>
      <c r="M235" s="160">
        <v>0</v>
      </c>
      <c r="N235" s="160">
        <v>43742.45</v>
      </c>
    </row>
    <row r="236" spans="1:14" ht="30" x14ac:dyDescent="0.25">
      <c r="A236" s="157" t="s">
        <v>263</v>
      </c>
      <c r="B236" s="166">
        <v>20128.810000000001</v>
      </c>
      <c r="C236" s="166">
        <v>41893.910000000003</v>
      </c>
      <c r="D236" s="166">
        <v>28325.58</v>
      </c>
      <c r="E236" s="166">
        <v>28962.880000000001</v>
      </c>
      <c r="F236" s="166">
        <v>5334.09</v>
      </c>
      <c r="G236" s="166">
        <v>16.07</v>
      </c>
      <c r="H236" s="166">
        <v>0</v>
      </c>
      <c r="I236" s="166">
        <v>0</v>
      </c>
      <c r="J236" s="166">
        <v>0</v>
      </c>
      <c r="K236" s="166">
        <v>0</v>
      </c>
      <c r="L236" s="166">
        <v>0</v>
      </c>
      <c r="M236" s="166">
        <v>0</v>
      </c>
      <c r="N236" s="166">
        <v>124661.34</v>
      </c>
    </row>
    <row r="237" spans="1:14" x14ac:dyDescent="0.25">
      <c r="A237" s="157" t="s">
        <v>139</v>
      </c>
      <c r="B237" s="160">
        <f t="shared" ref="B237:N237" si="26">SUM(B224:B236)</f>
        <v>809881.17</v>
      </c>
      <c r="C237" s="160">
        <f t="shared" si="26"/>
        <v>832472.33</v>
      </c>
      <c r="D237" s="160">
        <f t="shared" si="26"/>
        <v>783532.23999999987</v>
      </c>
      <c r="E237" s="160">
        <f t="shared" si="26"/>
        <v>775362.82000000007</v>
      </c>
      <c r="F237" s="160">
        <f t="shared" si="26"/>
        <v>827431.70000000007</v>
      </c>
      <c r="G237" s="160">
        <f t="shared" si="26"/>
        <v>841537.66999999993</v>
      </c>
      <c r="H237" s="160">
        <f t="shared" si="26"/>
        <v>868497.03999999992</v>
      </c>
      <c r="I237" s="160">
        <f t="shared" si="26"/>
        <v>793179.9</v>
      </c>
      <c r="J237" s="160">
        <f t="shared" si="26"/>
        <v>859439.46</v>
      </c>
      <c r="K237" s="160">
        <f t="shared" si="26"/>
        <v>813925.19</v>
      </c>
      <c r="L237" s="160">
        <f t="shared" si="26"/>
        <v>808292.94</v>
      </c>
      <c r="M237" s="160">
        <f t="shared" si="26"/>
        <v>1011168.8400000001</v>
      </c>
      <c r="N237" s="160">
        <f t="shared" si="26"/>
        <v>10024721.299999999</v>
      </c>
    </row>
    <row r="238" spans="1:14" x14ac:dyDescent="0.25">
      <c r="A238" s="157"/>
      <c r="B238" s="161"/>
      <c r="C238" s="161"/>
      <c r="D238" s="161"/>
      <c r="E238" s="161"/>
      <c r="F238" s="161"/>
      <c r="G238" s="161"/>
      <c r="H238" s="161"/>
      <c r="I238" s="161"/>
      <c r="J238" s="161"/>
      <c r="K238" s="161"/>
      <c r="L238" s="161"/>
      <c r="M238" s="161"/>
      <c r="N238" s="161"/>
    </row>
    <row r="239" spans="1:14" x14ac:dyDescent="0.25">
      <c r="A239" s="157" t="s">
        <v>264</v>
      </c>
      <c r="B239" s="160">
        <v>120566.16</v>
      </c>
      <c r="C239" s="160">
        <v>136345.28</v>
      </c>
      <c r="D239" s="160">
        <v>125659.23</v>
      </c>
      <c r="E239" s="160">
        <v>116680.74</v>
      </c>
      <c r="F239" s="160">
        <v>27306.11</v>
      </c>
      <c r="G239" s="160">
        <v>4039.08</v>
      </c>
      <c r="H239" s="160">
        <v>0</v>
      </c>
      <c r="I239" s="160">
        <v>0</v>
      </c>
      <c r="J239" s="160">
        <v>-4221.1400000000003</v>
      </c>
      <c r="K239" s="160">
        <v>0</v>
      </c>
      <c r="L239" s="160">
        <v>0</v>
      </c>
      <c r="M239" s="160">
        <v>0</v>
      </c>
      <c r="N239" s="160">
        <v>526375.46</v>
      </c>
    </row>
    <row r="240" spans="1:14" x14ac:dyDescent="0.25">
      <c r="A240" s="157" t="s">
        <v>265</v>
      </c>
      <c r="B240" s="160">
        <v>11709.22</v>
      </c>
      <c r="C240" s="160">
        <v>16403.439999999999</v>
      </c>
      <c r="D240" s="160">
        <v>16888.939999999999</v>
      </c>
      <c r="E240" s="160">
        <v>10361.76</v>
      </c>
      <c r="F240" s="160">
        <v>4192.79</v>
      </c>
      <c r="G240" s="160">
        <v>0</v>
      </c>
      <c r="H240" s="160">
        <v>0</v>
      </c>
      <c r="I240" s="160">
        <v>0</v>
      </c>
      <c r="J240" s="160">
        <v>0</v>
      </c>
      <c r="K240" s="160">
        <v>0</v>
      </c>
      <c r="L240" s="160">
        <v>0</v>
      </c>
      <c r="M240" s="160">
        <v>0</v>
      </c>
      <c r="N240" s="160">
        <v>59556.15</v>
      </c>
    </row>
    <row r="241" spans="1:14" x14ac:dyDescent="0.25">
      <c r="A241" s="157" t="s">
        <v>266</v>
      </c>
      <c r="B241" s="160">
        <v>532493.21</v>
      </c>
      <c r="C241" s="160">
        <v>530989.44999999995</v>
      </c>
      <c r="D241" s="160">
        <v>477195.52000000002</v>
      </c>
      <c r="E241" s="160">
        <v>474098.61</v>
      </c>
      <c r="F241" s="160">
        <v>113365.08</v>
      </c>
      <c r="G241" s="160">
        <v>426.09</v>
      </c>
      <c r="H241" s="160">
        <v>682.95</v>
      </c>
      <c r="I241" s="160">
        <v>1138.78</v>
      </c>
      <c r="J241" s="160">
        <v>0</v>
      </c>
      <c r="K241" s="160">
        <v>490.66</v>
      </c>
      <c r="L241" s="160">
        <v>1093.42</v>
      </c>
      <c r="M241" s="160">
        <v>433.58</v>
      </c>
      <c r="N241" s="160">
        <v>2132407.35</v>
      </c>
    </row>
    <row r="242" spans="1:14" x14ac:dyDescent="0.25">
      <c r="A242" s="157" t="s">
        <v>267</v>
      </c>
      <c r="B242" s="160">
        <v>1425</v>
      </c>
      <c r="C242" s="160">
        <v>2027.48</v>
      </c>
      <c r="D242" s="160">
        <v>1400</v>
      </c>
      <c r="E242" s="160">
        <v>41.65</v>
      </c>
      <c r="F242" s="160">
        <v>10.220000000000001</v>
      </c>
      <c r="G242" s="160">
        <v>0</v>
      </c>
      <c r="H242" s="160">
        <v>0</v>
      </c>
      <c r="I242" s="160">
        <v>0</v>
      </c>
      <c r="J242" s="160">
        <v>0</v>
      </c>
      <c r="K242" s="160">
        <v>0</v>
      </c>
      <c r="L242" s="160">
        <v>0</v>
      </c>
      <c r="M242" s="160">
        <v>0</v>
      </c>
      <c r="N242" s="160">
        <v>4904.3500000000004</v>
      </c>
    </row>
    <row r="243" spans="1:14" x14ac:dyDescent="0.25">
      <c r="A243" s="157" t="s">
        <v>268</v>
      </c>
      <c r="B243" s="160">
        <v>69249.240000000005</v>
      </c>
      <c r="C243" s="160">
        <v>29037.54</v>
      </c>
      <c r="D243" s="160">
        <v>17754.95</v>
      </c>
      <c r="E243" s="160">
        <v>51011.21</v>
      </c>
      <c r="F243" s="160">
        <v>29468.12</v>
      </c>
      <c r="G243" s="160">
        <v>0</v>
      </c>
      <c r="H243" s="160">
        <v>0</v>
      </c>
      <c r="I243" s="160">
        <v>0</v>
      </c>
      <c r="J243" s="160">
        <v>0</v>
      </c>
      <c r="K243" s="160">
        <v>0</v>
      </c>
      <c r="L243" s="160">
        <v>0</v>
      </c>
      <c r="M243" s="160">
        <v>0</v>
      </c>
      <c r="N243" s="160">
        <v>196521.06</v>
      </c>
    </row>
    <row r="244" spans="1:14" x14ac:dyDescent="0.25">
      <c r="A244" s="157" t="s">
        <v>269</v>
      </c>
      <c r="B244" s="160">
        <v>-5648.15</v>
      </c>
      <c r="C244" s="160">
        <v>-104.28</v>
      </c>
      <c r="D244" s="160">
        <v>3229.54</v>
      </c>
      <c r="E244" s="160">
        <v>-41741.71</v>
      </c>
      <c r="F244" s="160">
        <v>-28641.31</v>
      </c>
      <c r="G244" s="160">
        <v>0</v>
      </c>
      <c r="H244" s="160">
        <v>0</v>
      </c>
      <c r="I244" s="160">
        <v>0</v>
      </c>
      <c r="J244" s="160">
        <v>0</v>
      </c>
      <c r="K244" s="160">
        <v>0</v>
      </c>
      <c r="L244" s="160">
        <v>0</v>
      </c>
      <c r="M244" s="160">
        <v>0</v>
      </c>
      <c r="N244" s="160">
        <v>-72905.91</v>
      </c>
    </row>
    <row r="245" spans="1:14" x14ac:dyDescent="0.25">
      <c r="A245" s="157" t="s">
        <v>270</v>
      </c>
      <c r="B245" s="160">
        <v>42845.13</v>
      </c>
      <c r="C245" s="160">
        <v>42562.35</v>
      </c>
      <c r="D245" s="160">
        <v>40392.15</v>
      </c>
      <c r="E245" s="160">
        <v>37623.839999999997</v>
      </c>
      <c r="F245" s="160">
        <v>14648.31</v>
      </c>
      <c r="G245" s="160">
        <v>348.02</v>
      </c>
      <c r="H245" s="160">
        <v>1.48</v>
      </c>
      <c r="I245" s="160">
        <v>0</v>
      </c>
      <c r="J245" s="160">
        <v>0</v>
      </c>
      <c r="K245" s="160">
        <v>0</v>
      </c>
      <c r="L245" s="160">
        <v>0</v>
      </c>
      <c r="M245" s="160">
        <v>0</v>
      </c>
      <c r="N245" s="160">
        <v>178421.28</v>
      </c>
    </row>
    <row r="246" spans="1:14" x14ac:dyDescent="0.25">
      <c r="A246" s="157" t="s">
        <v>271</v>
      </c>
      <c r="B246" s="160">
        <v>41299.79</v>
      </c>
      <c r="C246" s="160">
        <v>93611.97</v>
      </c>
      <c r="D246" s="160">
        <v>61109.64</v>
      </c>
      <c r="E246" s="160">
        <v>60380.73</v>
      </c>
      <c r="F246" s="160">
        <v>15528.55</v>
      </c>
      <c r="G246" s="160">
        <v>314.57</v>
      </c>
      <c r="H246" s="160">
        <v>10.130000000000001</v>
      </c>
      <c r="I246" s="160">
        <v>0</v>
      </c>
      <c r="J246" s="160">
        <v>-175.07</v>
      </c>
      <c r="K246" s="160">
        <v>0</v>
      </c>
      <c r="L246" s="160">
        <v>0</v>
      </c>
      <c r="M246" s="160">
        <v>0</v>
      </c>
      <c r="N246" s="160">
        <v>272080.31</v>
      </c>
    </row>
    <row r="247" spans="1:14" x14ac:dyDescent="0.25">
      <c r="A247" s="157" t="s">
        <v>272</v>
      </c>
      <c r="B247" s="160">
        <v>643953.82999999996</v>
      </c>
      <c r="C247" s="160">
        <v>646313.30000000005</v>
      </c>
      <c r="D247" s="160">
        <v>589869.80000000005</v>
      </c>
      <c r="E247" s="160">
        <v>607731.68000000005</v>
      </c>
      <c r="F247" s="160">
        <v>637975.26</v>
      </c>
      <c r="G247" s="160">
        <v>674681.81</v>
      </c>
      <c r="H247" s="160">
        <v>617718.23</v>
      </c>
      <c r="I247" s="160">
        <v>686538.32</v>
      </c>
      <c r="J247" s="160">
        <v>665600.24</v>
      </c>
      <c r="K247" s="160">
        <v>684183.02</v>
      </c>
      <c r="L247" s="160">
        <v>663188.63</v>
      </c>
      <c r="M247" s="160">
        <v>804251.22</v>
      </c>
      <c r="N247" s="160">
        <v>7922005.3399999999</v>
      </c>
    </row>
    <row r="248" spans="1:14" x14ac:dyDescent="0.25">
      <c r="A248" s="157" t="s">
        <v>273</v>
      </c>
      <c r="B248" s="160">
        <v>23708.15</v>
      </c>
      <c r="C248" s="160">
        <v>19878.64</v>
      </c>
      <c r="D248" s="160">
        <v>18877.490000000002</v>
      </c>
      <c r="E248" s="160">
        <v>21152.6</v>
      </c>
      <c r="F248" s="160">
        <v>19769.830000000002</v>
      </c>
      <c r="G248" s="160">
        <v>22990.39</v>
      </c>
      <c r="H248" s="160">
        <v>21116.19</v>
      </c>
      <c r="I248" s="160">
        <v>8981.0300000000007</v>
      </c>
      <c r="J248" s="160">
        <v>4334.42</v>
      </c>
      <c r="K248" s="160">
        <v>5129.97</v>
      </c>
      <c r="L248" s="160">
        <v>4709.25</v>
      </c>
      <c r="M248" s="160">
        <v>4246.38</v>
      </c>
      <c r="N248" s="160">
        <v>174894.34</v>
      </c>
    </row>
    <row r="249" spans="1:14" ht="30" x14ac:dyDescent="0.25">
      <c r="A249" s="157" t="s">
        <v>274</v>
      </c>
      <c r="B249" s="160">
        <v>11314.11</v>
      </c>
      <c r="C249" s="160">
        <v>11375.95</v>
      </c>
      <c r="D249" s="160">
        <v>9859.92</v>
      </c>
      <c r="E249" s="160">
        <v>16760.89</v>
      </c>
      <c r="F249" s="160">
        <v>13179.25</v>
      </c>
      <c r="G249" s="160">
        <v>14695.31</v>
      </c>
      <c r="H249" s="160">
        <v>14278.16</v>
      </c>
      <c r="I249" s="160">
        <v>10539.37</v>
      </c>
      <c r="J249" s="160">
        <v>12447.52</v>
      </c>
      <c r="K249" s="160">
        <v>11071.66</v>
      </c>
      <c r="L249" s="160">
        <v>16274.15</v>
      </c>
      <c r="M249" s="160">
        <v>16148.64</v>
      </c>
      <c r="N249" s="160">
        <v>157944.93</v>
      </c>
    </row>
    <row r="250" spans="1:14" x14ac:dyDescent="0.25">
      <c r="A250" s="157" t="s">
        <v>275</v>
      </c>
      <c r="B250" s="160">
        <v>12647.57</v>
      </c>
      <c r="C250" s="160">
        <v>12816.51</v>
      </c>
      <c r="D250" s="160">
        <v>11290.93</v>
      </c>
      <c r="E250" s="160">
        <v>11610.9</v>
      </c>
      <c r="F250" s="160">
        <v>11760.14</v>
      </c>
      <c r="G250" s="160">
        <v>12591.78</v>
      </c>
      <c r="H250" s="160">
        <v>11681.07</v>
      </c>
      <c r="I250" s="160">
        <v>121.2</v>
      </c>
      <c r="J250" s="160">
        <v>-128.69</v>
      </c>
      <c r="K250" s="160">
        <v>0</v>
      </c>
      <c r="L250" s="160">
        <v>0</v>
      </c>
      <c r="M250" s="160">
        <v>0</v>
      </c>
      <c r="N250" s="160">
        <v>84391.41</v>
      </c>
    </row>
    <row r="251" spans="1:14" x14ac:dyDescent="0.25">
      <c r="A251" s="157" t="s">
        <v>276</v>
      </c>
      <c r="B251" s="160">
        <v>70576.98</v>
      </c>
      <c r="C251" s="160">
        <v>63336.18</v>
      </c>
      <c r="D251" s="160">
        <v>61569.440000000002</v>
      </c>
      <c r="E251" s="160">
        <v>59011.69</v>
      </c>
      <c r="F251" s="160">
        <v>50407.839999999997</v>
      </c>
      <c r="G251" s="160">
        <v>56671.37</v>
      </c>
      <c r="H251" s="160">
        <v>69614.23</v>
      </c>
      <c r="I251" s="160">
        <v>24126.44</v>
      </c>
      <c r="J251" s="160">
        <v>2155.2600000000002</v>
      </c>
      <c r="K251" s="160">
        <v>2426.38</v>
      </c>
      <c r="L251" s="160">
        <v>1387.88</v>
      </c>
      <c r="M251" s="160">
        <v>5337.15</v>
      </c>
      <c r="N251" s="160">
        <v>466620.84</v>
      </c>
    </row>
    <row r="252" spans="1:14" x14ac:dyDescent="0.25">
      <c r="A252" s="157" t="s">
        <v>277</v>
      </c>
      <c r="B252" s="160">
        <v>23929.439999999999</v>
      </c>
      <c r="C252" s="160">
        <v>24857.75</v>
      </c>
      <c r="D252" s="160">
        <v>27992.9</v>
      </c>
      <c r="E252" s="160">
        <v>91790.86</v>
      </c>
      <c r="F252" s="160">
        <v>523037.7</v>
      </c>
      <c r="G252" s="160">
        <v>1101608.54</v>
      </c>
      <c r="H252" s="160">
        <v>913776.87</v>
      </c>
      <c r="I252" s="160">
        <v>906962.17</v>
      </c>
      <c r="J252" s="160">
        <v>914524.8</v>
      </c>
      <c r="K252" s="160">
        <v>933810.06</v>
      </c>
      <c r="L252" s="160">
        <v>922016.15</v>
      </c>
      <c r="M252" s="160">
        <v>1239388.4099999999</v>
      </c>
      <c r="N252" s="160">
        <v>7623695.6500000004</v>
      </c>
    </row>
    <row r="253" spans="1:14" x14ac:dyDescent="0.25">
      <c r="A253" s="157" t="s">
        <v>278</v>
      </c>
      <c r="B253" s="160">
        <v>0</v>
      </c>
      <c r="C253" s="160">
        <v>23.27</v>
      </c>
      <c r="D253" s="160">
        <v>0</v>
      </c>
      <c r="E253" s="160">
        <v>144.97</v>
      </c>
      <c r="F253" s="160">
        <v>-168.24</v>
      </c>
      <c r="G253" s="160">
        <v>0</v>
      </c>
      <c r="H253" s="160">
        <v>0</v>
      </c>
      <c r="I253" s="160">
        <v>0</v>
      </c>
      <c r="J253" s="160">
        <v>0</v>
      </c>
      <c r="K253" s="160">
        <v>0</v>
      </c>
      <c r="L253" s="160">
        <v>0</v>
      </c>
      <c r="M253" s="160">
        <v>0</v>
      </c>
      <c r="N253" s="160">
        <v>0</v>
      </c>
    </row>
    <row r="254" spans="1:14" x14ac:dyDescent="0.25">
      <c r="A254" s="157" t="s">
        <v>279</v>
      </c>
      <c r="B254" s="160">
        <v>3934.26</v>
      </c>
      <c r="C254" s="160">
        <v>4180.8599999999997</v>
      </c>
      <c r="D254" s="160">
        <v>3687.66</v>
      </c>
      <c r="E254" s="160">
        <v>3784.7</v>
      </c>
      <c r="F254" s="160">
        <v>3784.7</v>
      </c>
      <c r="G254" s="160">
        <v>3784.7</v>
      </c>
      <c r="H254" s="160">
        <v>3934.26</v>
      </c>
      <c r="I254" s="160">
        <v>5098.43</v>
      </c>
      <c r="J254" s="160">
        <v>2140.83</v>
      </c>
      <c r="K254" s="160">
        <v>3287.05</v>
      </c>
      <c r="L254" s="160">
        <v>3538.48</v>
      </c>
      <c r="M254" s="160">
        <v>7210.63</v>
      </c>
      <c r="N254" s="160">
        <v>48366.559999999998</v>
      </c>
    </row>
    <row r="255" spans="1:14" x14ac:dyDescent="0.25">
      <c r="A255" s="157" t="s">
        <v>280</v>
      </c>
      <c r="B255" s="160">
        <v>4497.97</v>
      </c>
      <c r="C255" s="160">
        <v>4579.92</v>
      </c>
      <c r="D255" s="160">
        <v>1799.02</v>
      </c>
      <c r="E255" s="160">
        <v>5367.01</v>
      </c>
      <c r="F255" s="160">
        <v>2917.37</v>
      </c>
      <c r="G255" s="160">
        <v>4833.3100000000004</v>
      </c>
      <c r="H255" s="160">
        <v>4934.79</v>
      </c>
      <c r="I255" s="160">
        <v>432.62</v>
      </c>
      <c r="J255" s="160">
        <v>83.07</v>
      </c>
      <c r="K255" s="160">
        <v>752.33</v>
      </c>
      <c r="L255" s="160">
        <v>3987.4</v>
      </c>
      <c r="M255" s="160">
        <v>9858.14</v>
      </c>
      <c r="N255" s="160">
        <v>44042.95</v>
      </c>
    </row>
    <row r="256" spans="1:14" x14ac:dyDescent="0.25">
      <c r="A256" s="157" t="s">
        <v>281</v>
      </c>
      <c r="B256" s="166">
        <v>9627.3799999999992</v>
      </c>
      <c r="C256" s="166">
        <v>8882.56</v>
      </c>
      <c r="D256" s="166">
        <v>8359.4699999999993</v>
      </c>
      <c r="E256" s="166">
        <v>10751.86</v>
      </c>
      <c r="F256" s="166">
        <v>8684.7999999999993</v>
      </c>
      <c r="G256" s="166">
        <v>13442.2</v>
      </c>
      <c r="H256" s="166">
        <v>16873.009999999998</v>
      </c>
      <c r="I256" s="166">
        <v>1425.28</v>
      </c>
      <c r="J256" s="166">
        <v>1867.26</v>
      </c>
      <c r="K256" s="166">
        <v>5358.29</v>
      </c>
      <c r="L256" s="166">
        <v>2676.35</v>
      </c>
      <c r="M256" s="166">
        <v>1080.51</v>
      </c>
      <c r="N256" s="166">
        <v>89028.97</v>
      </c>
    </row>
    <row r="257" spans="1:14" x14ac:dyDescent="0.25">
      <c r="A257" s="157" t="s">
        <v>140</v>
      </c>
      <c r="B257" s="160">
        <f t="shared" ref="B257:N257" si="27">SUM(B239:B256)</f>
        <v>1618129.2899999998</v>
      </c>
      <c r="C257" s="160">
        <f t="shared" si="27"/>
        <v>1647118.1699999997</v>
      </c>
      <c r="D257" s="160">
        <f t="shared" si="27"/>
        <v>1476936.5999999996</v>
      </c>
      <c r="E257" s="160">
        <f t="shared" si="27"/>
        <v>1536563.99</v>
      </c>
      <c r="F257" s="160">
        <f t="shared" si="27"/>
        <v>1447226.52</v>
      </c>
      <c r="G257" s="160">
        <f t="shared" si="27"/>
        <v>1910427.1700000002</v>
      </c>
      <c r="H257" s="160">
        <f t="shared" si="27"/>
        <v>1674621.37</v>
      </c>
      <c r="I257" s="160">
        <f t="shared" si="27"/>
        <v>1645363.6400000001</v>
      </c>
      <c r="J257" s="160">
        <f t="shared" si="27"/>
        <v>1598628.5000000005</v>
      </c>
      <c r="K257" s="160">
        <f t="shared" si="27"/>
        <v>1646509.4200000002</v>
      </c>
      <c r="L257" s="160">
        <f t="shared" si="27"/>
        <v>1618871.71</v>
      </c>
      <c r="M257" s="160">
        <f t="shared" si="27"/>
        <v>2087954.6599999997</v>
      </c>
      <c r="N257" s="160">
        <f t="shared" si="27"/>
        <v>19908351.039999999</v>
      </c>
    </row>
    <row r="258" spans="1:14" x14ac:dyDescent="0.25">
      <c r="A258" s="157"/>
      <c r="B258" s="161"/>
      <c r="C258" s="161"/>
      <c r="D258" s="161"/>
      <c r="E258" s="161"/>
      <c r="F258" s="161"/>
      <c r="G258" s="161"/>
      <c r="H258" s="161"/>
      <c r="I258" s="161"/>
      <c r="J258" s="161"/>
      <c r="K258" s="161"/>
      <c r="L258" s="161"/>
      <c r="M258" s="161"/>
      <c r="N258" s="161"/>
    </row>
    <row r="259" spans="1:14" x14ac:dyDescent="0.25">
      <c r="A259" s="157" t="s">
        <v>282</v>
      </c>
      <c r="B259" s="160">
        <v>516</v>
      </c>
      <c r="C259" s="160">
        <v>502.07</v>
      </c>
      <c r="D259" s="160">
        <v>-99.98</v>
      </c>
      <c r="E259" s="160">
        <v>211.45</v>
      </c>
      <c r="F259" s="160">
        <v>-3757.15</v>
      </c>
      <c r="G259" s="160">
        <v>40.86</v>
      </c>
      <c r="H259" s="160">
        <v>630.58000000000004</v>
      </c>
      <c r="I259" s="160">
        <v>369.99</v>
      </c>
      <c r="J259" s="160">
        <v>49.99</v>
      </c>
      <c r="K259" s="160">
        <v>119.68</v>
      </c>
      <c r="L259" s="160">
        <v>471.35</v>
      </c>
      <c r="M259" s="160">
        <v>38.68</v>
      </c>
      <c r="N259" s="160">
        <v>-906.48</v>
      </c>
    </row>
    <row r="260" spans="1:14" x14ac:dyDescent="0.25">
      <c r="A260" s="157" t="s">
        <v>283</v>
      </c>
      <c r="B260" s="160">
        <v>-33</v>
      </c>
      <c r="C260" s="160">
        <v>-33</v>
      </c>
      <c r="D260" s="160">
        <v>85</v>
      </c>
      <c r="E260" s="160">
        <v>0</v>
      </c>
      <c r="F260" s="160">
        <v>2976.44</v>
      </c>
      <c r="G260" s="160">
        <v>0</v>
      </c>
      <c r="H260" s="160">
        <v>55</v>
      </c>
      <c r="I260" s="160">
        <v>249.45</v>
      </c>
      <c r="J260" s="160">
        <v>0</v>
      </c>
      <c r="K260" s="160">
        <v>3425</v>
      </c>
      <c r="L260" s="160">
        <v>1086.47</v>
      </c>
      <c r="M260" s="160">
        <v>75.95</v>
      </c>
      <c r="N260" s="160">
        <v>7887.31</v>
      </c>
    </row>
    <row r="261" spans="1:14" x14ac:dyDescent="0.25">
      <c r="A261" s="157" t="s">
        <v>284</v>
      </c>
      <c r="B261" s="160">
        <v>616.66999999999996</v>
      </c>
      <c r="C261" s="160">
        <v>616.66</v>
      </c>
      <c r="D261" s="160">
        <v>616.66999999999996</v>
      </c>
      <c r="E261" s="160">
        <v>616.66999999999996</v>
      </c>
      <c r="F261" s="160">
        <v>616.66999999999996</v>
      </c>
      <c r="G261" s="160">
        <v>366.67</v>
      </c>
      <c r="H261" s="160">
        <v>500</v>
      </c>
      <c r="I261" s="160">
        <v>0</v>
      </c>
      <c r="J261" s="160">
        <v>0</v>
      </c>
      <c r="K261" s="160">
        <v>0</v>
      </c>
      <c r="L261" s="160">
        <v>0</v>
      </c>
      <c r="M261" s="160">
        <v>561.39</v>
      </c>
      <c r="N261" s="160">
        <v>4511.3999999999996</v>
      </c>
    </row>
    <row r="262" spans="1:14" x14ac:dyDescent="0.25">
      <c r="A262" s="157" t="s">
        <v>285</v>
      </c>
      <c r="B262" s="160">
        <v>46016.55</v>
      </c>
      <c r="C262" s="160">
        <v>46409.16</v>
      </c>
      <c r="D262" s="160">
        <v>46270.03</v>
      </c>
      <c r="E262" s="160">
        <v>45943.73</v>
      </c>
      <c r="F262" s="160">
        <v>44769.49</v>
      </c>
      <c r="G262" s="160">
        <v>46403.67</v>
      </c>
      <c r="H262" s="160">
        <v>46403.67</v>
      </c>
      <c r="I262" s="160">
        <v>46403.67</v>
      </c>
      <c r="J262" s="160">
        <v>46416.82</v>
      </c>
      <c r="K262" s="160">
        <v>46403.67</v>
      </c>
      <c r="L262" s="160">
        <v>46976.21</v>
      </c>
      <c r="M262" s="160">
        <v>47533.7</v>
      </c>
      <c r="N262" s="160">
        <v>555950.37</v>
      </c>
    </row>
    <row r="263" spans="1:14" x14ac:dyDescent="0.25">
      <c r="A263" s="157" t="s">
        <v>286</v>
      </c>
      <c r="B263" s="160">
        <v>4680</v>
      </c>
      <c r="C263" s="160">
        <v>4680</v>
      </c>
      <c r="D263" s="160">
        <v>4680</v>
      </c>
      <c r="E263" s="160">
        <v>4680</v>
      </c>
      <c r="F263" s="160">
        <v>4680</v>
      </c>
      <c r="G263" s="160">
        <v>4680</v>
      </c>
      <c r="H263" s="160">
        <v>4680</v>
      </c>
      <c r="I263" s="160">
        <v>4680</v>
      </c>
      <c r="J263" s="160">
        <v>4680</v>
      </c>
      <c r="K263" s="160">
        <v>4680</v>
      </c>
      <c r="L263" s="160">
        <v>4680</v>
      </c>
      <c r="M263" s="160">
        <v>4680</v>
      </c>
      <c r="N263" s="160">
        <v>56160</v>
      </c>
    </row>
    <row r="264" spans="1:14" x14ac:dyDescent="0.25">
      <c r="A264" s="157" t="s">
        <v>287</v>
      </c>
      <c r="B264" s="160">
        <v>6490.08</v>
      </c>
      <c r="C264" s="160">
        <v>5804.91</v>
      </c>
      <c r="D264" s="160">
        <v>6381.25</v>
      </c>
      <c r="E264" s="160">
        <v>12155.21</v>
      </c>
      <c r="F264" s="160">
        <v>9082.06</v>
      </c>
      <c r="G264" s="160">
        <v>13217.01</v>
      </c>
      <c r="H264" s="160">
        <v>6215.09</v>
      </c>
      <c r="I264" s="160">
        <v>10353.51</v>
      </c>
      <c r="J264" s="160">
        <v>9945.91</v>
      </c>
      <c r="K264" s="160">
        <v>9252.2999999999993</v>
      </c>
      <c r="L264" s="160">
        <v>7938.31</v>
      </c>
      <c r="M264" s="160">
        <v>4840.12</v>
      </c>
      <c r="N264" s="160">
        <v>101675.76</v>
      </c>
    </row>
    <row r="265" spans="1:14" x14ac:dyDescent="0.25">
      <c r="A265" s="157" t="s">
        <v>288</v>
      </c>
      <c r="B265" s="160">
        <v>233524.33</v>
      </c>
      <c r="C265" s="160">
        <v>371230.18</v>
      </c>
      <c r="D265" s="160">
        <v>371282.28</v>
      </c>
      <c r="E265" s="160">
        <v>371262.39</v>
      </c>
      <c r="F265" s="160">
        <v>370183.93</v>
      </c>
      <c r="G265" s="160">
        <v>371282.28</v>
      </c>
      <c r="H265" s="160">
        <v>371282.27</v>
      </c>
      <c r="I265" s="160">
        <v>371282.28</v>
      </c>
      <c r="J265" s="160">
        <v>365729.99</v>
      </c>
      <c r="K265" s="160">
        <v>344258.2</v>
      </c>
      <c r="L265" s="160">
        <v>371282.28</v>
      </c>
      <c r="M265" s="160">
        <v>371282.28</v>
      </c>
      <c r="N265" s="160">
        <v>4283882.6900000004</v>
      </c>
    </row>
    <row r="266" spans="1:14" x14ac:dyDescent="0.25">
      <c r="A266" s="157" t="s">
        <v>289</v>
      </c>
      <c r="B266" s="160">
        <v>53912.9</v>
      </c>
      <c r="C266" s="160">
        <v>53912.9</v>
      </c>
      <c r="D266" s="160">
        <v>53912.9</v>
      </c>
      <c r="E266" s="160">
        <v>53912.89</v>
      </c>
      <c r="F266" s="160">
        <v>53912.89</v>
      </c>
      <c r="G266" s="160">
        <v>53526.58</v>
      </c>
      <c r="H266" s="160">
        <v>103953.32</v>
      </c>
      <c r="I266" s="160">
        <v>79321.289999999994</v>
      </c>
      <c r="J266" s="160">
        <v>83805.67</v>
      </c>
      <c r="K266" s="160">
        <v>79321.289999999994</v>
      </c>
      <c r="L266" s="160">
        <v>78158.61</v>
      </c>
      <c r="M266" s="160">
        <v>88243.61</v>
      </c>
      <c r="N266" s="160">
        <v>835894.85</v>
      </c>
    </row>
    <row r="267" spans="1:14" x14ac:dyDescent="0.25">
      <c r="A267" s="157" t="s">
        <v>290</v>
      </c>
      <c r="B267" s="160">
        <v>10162.82</v>
      </c>
      <c r="C267" s="160">
        <v>10162.83</v>
      </c>
      <c r="D267" s="160">
        <v>10162.83</v>
      </c>
      <c r="E267" s="160">
        <v>10162.86</v>
      </c>
      <c r="F267" s="160">
        <v>10162.86</v>
      </c>
      <c r="G267" s="160">
        <v>10162.86</v>
      </c>
      <c r="H267" s="160">
        <v>8004.94</v>
      </c>
      <c r="I267" s="160">
        <v>9083.9</v>
      </c>
      <c r="J267" s="160">
        <v>9083.9</v>
      </c>
      <c r="K267" s="160">
        <v>8676.64</v>
      </c>
      <c r="L267" s="160">
        <v>8676.64</v>
      </c>
      <c r="M267" s="160">
        <v>9812.2099999999991</v>
      </c>
      <c r="N267" s="160">
        <v>114315.29</v>
      </c>
    </row>
    <row r="268" spans="1:14" x14ac:dyDescent="0.25">
      <c r="A268" s="157" t="s">
        <v>291</v>
      </c>
      <c r="B268" s="160">
        <v>32.28</v>
      </c>
      <c r="C268" s="160">
        <v>52.11</v>
      </c>
      <c r="D268" s="160">
        <v>52.11</v>
      </c>
      <c r="E268" s="160">
        <v>52.11</v>
      </c>
      <c r="F268" s="160">
        <v>52.11</v>
      </c>
      <c r="G268" s="160">
        <v>52.11</v>
      </c>
      <c r="H268" s="160">
        <v>82.12</v>
      </c>
      <c r="I268" s="160">
        <v>52.11</v>
      </c>
      <c r="J268" s="160">
        <v>52.11</v>
      </c>
      <c r="K268" s="160">
        <v>52.11</v>
      </c>
      <c r="L268" s="160">
        <v>19.829999999999998</v>
      </c>
      <c r="M268" s="160">
        <v>84.39</v>
      </c>
      <c r="N268" s="160">
        <v>635.5</v>
      </c>
    </row>
    <row r="269" spans="1:14" ht="30" x14ac:dyDescent="0.25">
      <c r="A269" s="157" t="s">
        <v>292</v>
      </c>
      <c r="B269" s="166">
        <v>7616.79</v>
      </c>
      <c r="C269" s="166">
        <v>5225</v>
      </c>
      <c r="D269" s="166">
        <v>1378.57</v>
      </c>
      <c r="E269" s="166">
        <v>1066.08</v>
      </c>
      <c r="F269" s="166">
        <v>1066.08</v>
      </c>
      <c r="G269" s="166">
        <v>1307.22</v>
      </c>
      <c r="H269" s="166">
        <v>1080.3</v>
      </c>
      <c r="I269" s="166">
        <v>1020.48</v>
      </c>
      <c r="J269" s="166">
        <v>1121.98</v>
      </c>
      <c r="K269" s="166">
        <v>739.1</v>
      </c>
      <c r="L269" s="166">
        <v>1118.03</v>
      </c>
      <c r="M269" s="166">
        <v>1425.66</v>
      </c>
      <c r="N269" s="166">
        <v>24165.29</v>
      </c>
    </row>
    <row r="270" spans="1:14" x14ac:dyDescent="0.25">
      <c r="A270" s="157" t="s">
        <v>293</v>
      </c>
      <c r="B270" s="160">
        <f t="shared" ref="B270:N270" si="28">SUM(B258:B269)</f>
        <v>363535.42000000004</v>
      </c>
      <c r="C270" s="160">
        <f t="shared" si="28"/>
        <v>498562.82</v>
      </c>
      <c r="D270" s="160">
        <f t="shared" si="28"/>
        <v>494721.66000000003</v>
      </c>
      <c r="E270" s="160">
        <f t="shared" si="28"/>
        <v>500063.39</v>
      </c>
      <c r="F270" s="160">
        <f t="shared" si="28"/>
        <v>493745.38</v>
      </c>
      <c r="G270" s="160">
        <f t="shared" si="28"/>
        <v>501039.26</v>
      </c>
      <c r="H270" s="160">
        <f t="shared" si="28"/>
        <v>542887.28999999992</v>
      </c>
      <c r="I270" s="160">
        <f t="shared" si="28"/>
        <v>522816.68</v>
      </c>
      <c r="J270" s="160">
        <f t="shared" si="28"/>
        <v>520886.36999999994</v>
      </c>
      <c r="K270" s="160">
        <f t="shared" si="28"/>
        <v>496927.98999999993</v>
      </c>
      <c r="L270" s="160">
        <f t="shared" si="28"/>
        <v>520407.73000000004</v>
      </c>
      <c r="M270" s="160">
        <f t="shared" si="28"/>
        <v>528577.99</v>
      </c>
      <c r="N270" s="160">
        <f t="shared" si="28"/>
        <v>5984171.9800000004</v>
      </c>
    </row>
    <row r="271" spans="1:14" x14ac:dyDescent="0.25">
      <c r="A271" s="157"/>
      <c r="B271" s="161"/>
      <c r="C271" s="161"/>
      <c r="D271" s="161"/>
      <c r="E271" s="161"/>
      <c r="F271" s="161"/>
      <c r="G271" s="161"/>
      <c r="H271" s="161"/>
      <c r="I271" s="161"/>
      <c r="J271" s="161"/>
      <c r="K271" s="161"/>
      <c r="L271" s="161"/>
      <c r="M271" s="161"/>
      <c r="N271" s="161"/>
    </row>
    <row r="272" spans="1:14" x14ac:dyDescent="0.25">
      <c r="A272" s="157" t="s">
        <v>294</v>
      </c>
      <c r="B272" s="160">
        <v>128785.07</v>
      </c>
      <c r="C272" s="160">
        <v>155666.59</v>
      </c>
      <c r="D272" s="160">
        <v>139559.73000000001</v>
      </c>
      <c r="E272" s="160">
        <v>148541.06</v>
      </c>
      <c r="F272" s="160">
        <v>147728.01999999999</v>
      </c>
      <c r="G272" s="160">
        <v>149219.48000000001</v>
      </c>
      <c r="H272" s="160">
        <v>141774.64000000001</v>
      </c>
      <c r="I272" s="160">
        <v>139681.53</v>
      </c>
      <c r="J272" s="160">
        <v>150303.20000000001</v>
      </c>
      <c r="K272" s="160">
        <v>124041.32</v>
      </c>
      <c r="L272" s="160">
        <v>148477.43</v>
      </c>
      <c r="M272" s="160">
        <v>147408.46</v>
      </c>
      <c r="N272" s="160">
        <v>1721186.53</v>
      </c>
    </row>
    <row r="273" spans="1:14" x14ac:dyDescent="0.25">
      <c r="A273" s="157" t="s">
        <v>295</v>
      </c>
      <c r="B273" s="160">
        <v>729.95</v>
      </c>
      <c r="C273" s="160">
        <v>728.71</v>
      </c>
      <c r="D273" s="160">
        <v>339.53</v>
      </c>
      <c r="E273" s="160">
        <v>692.4</v>
      </c>
      <c r="F273" s="160">
        <v>657.46</v>
      </c>
      <c r="G273" s="160">
        <v>607.15</v>
      </c>
      <c r="H273" s="160">
        <v>704.77</v>
      </c>
      <c r="I273" s="160">
        <v>579.54</v>
      </c>
      <c r="J273" s="160">
        <v>715.74</v>
      </c>
      <c r="K273" s="160">
        <v>564.91</v>
      </c>
      <c r="L273" s="160">
        <v>477.02</v>
      </c>
      <c r="M273" s="160">
        <v>656.95</v>
      </c>
      <c r="N273" s="160">
        <v>7454.13</v>
      </c>
    </row>
    <row r="274" spans="1:14" x14ac:dyDescent="0.25">
      <c r="A274" s="157" t="s">
        <v>296</v>
      </c>
      <c r="B274" s="160">
        <v>25712.01</v>
      </c>
      <c r="C274" s="160">
        <v>10610.46</v>
      </c>
      <c r="D274" s="160">
        <v>4818.33</v>
      </c>
      <c r="E274" s="160">
        <v>9711.15</v>
      </c>
      <c r="F274" s="160">
        <v>8608.4699999999993</v>
      </c>
      <c r="G274" s="160">
        <v>9778.81</v>
      </c>
      <c r="H274" s="160">
        <v>10250.16</v>
      </c>
      <c r="I274" s="160">
        <v>18768.939999999999</v>
      </c>
      <c r="J274" s="160">
        <v>9116.26</v>
      </c>
      <c r="K274" s="160">
        <v>9156.99</v>
      </c>
      <c r="L274" s="160">
        <v>7074.56</v>
      </c>
      <c r="M274" s="160">
        <v>19559.05</v>
      </c>
      <c r="N274" s="160">
        <v>143165.19</v>
      </c>
    </row>
    <row r="275" spans="1:14" x14ac:dyDescent="0.25">
      <c r="A275" s="157" t="s">
        <v>297</v>
      </c>
      <c r="B275" s="160">
        <v>-2681.55</v>
      </c>
      <c r="C275" s="160">
        <v>1178.8</v>
      </c>
      <c r="D275" s="160">
        <v>409.7</v>
      </c>
      <c r="E275" s="160">
        <v>381.26</v>
      </c>
      <c r="F275" s="160">
        <v>-278.77999999999997</v>
      </c>
      <c r="G275" s="160">
        <v>819.74</v>
      </c>
      <c r="H275" s="160">
        <v>-556.84</v>
      </c>
      <c r="I275" s="160">
        <v>-1976.46</v>
      </c>
      <c r="J275" s="160">
        <v>-3043.45</v>
      </c>
      <c r="K275" s="160">
        <v>3828.57</v>
      </c>
      <c r="L275" s="160">
        <v>1770.29</v>
      </c>
      <c r="M275" s="160">
        <v>-117.58</v>
      </c>
      <c r="N275" s="160">
        <v>-266.3</v>
      </c>
    </row>
    <row r="276" spans="1:14" x14ac:dyDescent="0.25">
      <c r="A276" s="157" t="s">
        <v>298</v>
      </c>
      <c r="B276" s="160">
        <v>10843.78</v>
      </c>
      <c r="C276" s="160">
        <v>11058.9</v>
      </c>
      <c r="D276" s="160">
        <v>10449.31</v>
      </c>
      <c r="E276" s="160">
        <v>10433.41</v>
      </c>
      <c r="F276" s="160">
        <v>10700</v>
      </c>
      <c r="G276" s="160">
        <v>8111.87</v>
      </c>
      <c r="H276" s="160">
        <v>8602.9599999999991</v>
      </c>
      <c r="I276" s="160">
        <v>8639.58</v>
      </c>
      <c r="J276" s="160">
        <v>7868.01</v>
      </c>
      <c r="K276" s="160">
        <v>7308.76</v>
      </c>
      <c r="L276" s="160">
        <v>6664.1</v>
      </c>
      <c r="M276" s="160">
        <v>7558.81</v>
      </c>
      <c r="N276" s="160">
        <v>108239.49</v>
      </c>
    </row>
    <row r="277" spans="1:14" x14ac:dyDescent="0.25">
      <c r="A277" s="157" t="s">
        <v>299</v>
      </c>
      <c r="B277" s="160">
        <v>8685.5499999999993</v>
      </c>
      <c r="C277" s="160">
        <v>20548.12</v>
      </c>
      <c r="D277" s="160">
        <v>12661.93</v>
      </c>
      <c r="E277" s="160">
        <v>12368.39</v>
      </c>
      <c r="F277" s="160">
        <v>12048.44</v>
      </c>
      <c r="G277" s="160">
        <v>12139.84</v>
      </c>
      <c r="H277" s="160">
        <v>11617.43</v>
      </c>
      <c r="I277" s="160">
        <v>12011.97</v>
      </c>
      <c r="J277" s="160">
        <v>12200.27</v>
      </c>
      <c r="K277" s="160">
        <v>10183.69</v>
      </c>
      <c r="L277" s="160">
        <v>11819.04</v>
      </c>
      <c r="M277" s="160">
        <v>12835.36</v>
      </c>
      <c r="N277" s="160">
        <v>149120.03</v>
      </c>
    </row>
    <row r="278" spans="1:14" x14ac:dyDescent="0.25">
      <c r="A278" s="157" t="s">
        <v>13</v>
      </c>
      <c r="B278" s="160">
        <v>187771.72</v>
      </c>
      <c r="C278" s="160">
        <v>230618.17</v>
      </c>
      <c r="D278" s="160">
        <v>206355.4</v>
      </c>
      <c r="E278" s="160">
        <v>194070.9</v>
      </c>
      <c r="F278" s="160">
        <v>192534.81</v>
      </c>
      <c r="G278" s="160">
        <v>202449.11</v>
      </c>
      <c r="H278" s="160">
        <v>240521.18</v>
      </c>
      <c r="I278" s="160">
        <v>257381.13</v>
      </c>
      <c r="J278" s="160">
        <v>265017.75</v>
      </c>
      <c r="K278" s="160">
        <v>275390.45</v>
      </c>
      <c r="L278" s="160">
        <v>260927.21</v>
      </c>
      <c r="M278" s="160">
        <v>238024.54</v>
      </c>
      <c r="N278" s="160">
        <v>2751062.37</v>
      </c>
    </row>
    <row r="279" spans="1:14" x14ac:dyDescent="0.25">
      <c r="A279" s="157" t="s">
        <v>141</v>
      </c>
      <c r="B279" s="160">
        <v>32954.93</v>
      </c>
      <c r="C279" s="160">
        <v>52283.68</v>
      </c>
      <c r="D279" s="160">
        <v>49320.63</v>
      </c>
      <c r="E279" s="160">
        <v>47180.35</v>
      </c>
      <c r="F279" s="160">
        <v>45148.89</v>
      </c>
      <c r="G279" s="160">
        <v>33104.01</v>
      </c>
      <c r="H279" s="160">
        <v>36268.33</v>
      </c>
      <c r="I279" s="160">
        <v>20669.89</v>
      </c>
      <c r="J279" s="160">
        <v>31461.09</v>
      </c>
      <c r="K279" s="160">
        <v>34845.14</v>
      </c>
      <c r="L279" s="160">
        <v>31854.35</v>
      </c>
      <c r="M279" s="160">
        <v>28001.94</v>
      </c>
      <c r="N279" s="160">
        <v>443093.23</v>
      </c>
    </row>
    <row r="280" spans="1:14" x14ac:dyDescent="0.25">
      <c r="A280" s="157" t="s">
        <v>300</v>
      </c>
      <c r="B280" s="160">
        <v>165430.06</v>
      </c>
      <c r="C280" s="160">
        <v>180618.1</v>
      </c>
      <c r="D280" s="160">
        <v>190142</v>
      </c>
      <c r="E280" s="160">
        <v>167001.64000000001</v>
      </c>
      <c r="F280" s="160">
        <v>175519.82</v>
      </c>
      <c r="G280" s="160">
        <v>148854.26999999999</v>
      </c>
      <c r="H280" s="160">
        <v>174945.63</v>
      </c>
      <c r="I280" s="160">
        <v>201121.05</v>
      </c>
      <c r="J280" s="160">
        <v>189936.94</v>
      </c>
      <c r="K280" s="160">
        <v>206578.76</v>
      </c>
      <c r="L280" s="160">
        <v>213192.28</v>
      </c>
      <c r="M280" s="160">
        <v>181431.45</v>
      </c>
      <c r="N280" s="160">
        <v>2194772</v>
      </c>
    </row>
    <row r="281" spans="1:14" x14ac:dyDescent="0.25">
      <c r="A281" s="157" t="s">
        <v>301</v>
      </c>
      <c r="B281" s="160">
        <v>11876.19</v>
      </c>
      <c r="C281" s="160">
        <v>12087.64</v>
      </c>
      <c r="D281" s="160">
        <v>14174.44</v>
      </c>
      <c r="E281" s="160">
        <v>13341.23</v>
      </c>
      <c r="F281" s="160">
        <v>17623.189999999999</v>
      </c>
      <c r="G281" s="160">
        <v>13157.07</v>
      </c>
      <c r="H281" s="160">
        <v>17165.55</v>
      </c>
      <c r="I281" s="160">
        <v>11232.81</v>
      </c>
      <c r="J281" s="160">
        <v>15904.48</v>
      </c>
      <c r="K281" s="160">
        <v>10065.34</v>
      </c>
      <c r="L281" s="160">
        <v>9126.5300000000007</v>
      </c>
      <c r="M281" s="160">
        <v>9855.2000000000007</v>
      </c>
      <c r="N281" s="160">
        <v>155609.67000000001</v>
      </c>
    </row>
    <row r="282" spans="1:14" x14ac:dyDescent="0.25">
      <c r="A282" s="157" t="s">
        <v>302</v>
      </c>
      <c r="B282" s="160">
        <v>47373.72</v>
      </c>
      <c r="C282" s="160">
        <v>73481.03</v>
      </c>
      <c r="D282" s="160">
        <v>41507.21</v>
      </c>
      <c r="E282" s="160">
        <v>58365.58</v>
      </c>
      <c r="F282" s="160">
        <v>53178.96</v>
      </c>
      <c r="G282" s="160">
        <v>50666.76</v>
      </c>
      <c r="H282" s="160">
        <v>65036.31</v>
      </c>
      <c r="I282" s="160">
        <v>47459.49</v>
      </c>
      <c r="J282" s="160">
        <v>58006.19</v>
      </c>
      <c r="K282" s="160">
        <v>61000.12</v>
      </c>
      <c r="L282" s="160">
        <v>57042.67</v>
      </c>
      <c r="M282" s="160">
        <v>47367.26</v>
      </c>
      <c r="N282" s="160">
        <v>660485.30000000005</v>
      </c>
    </row>
    <row r="283" spans="1:14" x14ac:dyDescent="0.25">
      <c r="A283" s="157" t="s">
        <v>142</v>
      </c>
      <c r="B283" s="160">
        <v>76224.789999999994</v>
      </c>
      <c r="C283" s="160">
        <v>97828.18</v>
      </c>
      <c r="D283" s="160">
        <v>94094.67</v>
      </c>
      <c r="E283" s="160">
        <v>88834.13</v>
      </c>
      <c r="F283" s="160">
        <v>95148.06</v>
      </c>
      <c r="G283" s="160">
        <v>95423.62</v>
      </c>
      <c r="H283" s="160">
        <v>58003.95</v>
      </c>
      <c r="I283" s="160">
        <v>64277.1</v>
      </c>
      <c r="J283" s="160">
        <v>60445.24</v>
      </c>
      <c r="K283" s="160">
        <v>63888.9</v>
      </c>
      <c r="L283" s="160">
        <v>62120.7</v>
      </c>
      <c r="M283" s="160">
        <v>47905.89</v>
      </c>
      <c r="N283" s="160">
        <v>904195.23</v>
      </c>
    </row>
    <row r="284" spans="1:14" x14ac:dyDescent="0.25">
      <c r="A284" s="157" t="s">
        <v>143</v>
      </c>
      <c r="B284" s="160">
        <v>44636.35</v>
      </c>
      <c r="C284" s="160">
        <v>53898.81</v>
      </c>
      <c r="D284" s="160">
        <v>50323.81</v>
      </c>
      <c r="E284" s="160">
        <v>59147.76</v>
      </c>
      <c r="F284" s="160">
        <v>18716.900000000001</v>
      </c>
      <c r="G284" s="160">
        <v>49961.91</v>
      </c>
      <c r="H284" s="160">
        <v>48901.71</v>
      </c>
      <c r="I284" s="160">
        <v>53128.77</v>
      </c>
      <c r="J284" s="160">
        <v>47921.18</v>
      </c>
      <c r="K284" s="160">
        <v>48683.839999999997</v>
      </c>
      <c r="L284" s="160">
        <v>49715.15</v>
      </c>
      <c r="M284" s="160">
        <v>48375.8</v>
      </c>
      <c r="N284" s="160">
        <v>573411.99</v>
      </c>
    </row>
    <row r="285" spans="1:14" x14ac:dyDescent="0.25">
      <c r="A285" s="157" t="s">
        <v>144</v>
      </c>
      <c r="B285" s="160">
        <v>35471.86</v>
      </c>
      <c r="C285" s="160">
        <v>46468.94</v>
      </c>
      <c r="D285" s="160">
        <v>35924.720000000001</v>
      </c>
      <c r="E285" s="160">
        <v>35213.39</v>
      </c>
      <c r="F285" s="160">
        <v>31705.38</v>
      </c>
      <c r="G285" s="160">
        <v>40055.96</v>
      </c>
      <c r="H285" s="160">
        <v>34532.78</v>
      </c>
      <c r="I285" s="160">
        <v>37420.06</v>
      </c>
      <c r="J285" s="160">
        <v>35576.870000000003</v>
      </c>
      <c r="K285" s="160">
        <v>25240.84</v>
      </c>
      <c r="L285" s="160">
        <v>45549.11</v>
      </c>
      <c r="M285" s="160">
        <v>-23622.57</v>
      </c>
      <c r="N285" s="160">
        <v>379537.34</v>
      </c>
    </row>
    <row r="286" spans="1:14" x14ac:dyDescent="0.25">
      <c r="A286" s="157" t="s">
        <v>145</v>
      </c>
      <c r="B286" s="160">
        <v>53395.360000000001</v>
      </c>
      <c r="C286" s="160">
        <v>35268.32</v>
      </c>
      <c r="D286" s="160">
        <v>48343.26</v>
      </c>
      <c r="E286" s="160">
        <v>40371.730000000003</v>
      </c>
      <c r="F286" s="160">
        <v>47558.23</v>
      </c>
      <c r="G286" s="160">
        <v>7595.29</v>
      </c>
      <c r="H286" s="160">
        <v>39285.760000000002</v>
      </c>
      <c r="I286" s="160">
        <v>31691.88</v>
      </c>
      <c r="J286" s="160">
        <v>53225.07</v>
      </c>
      <c r="K286" s="160">
        <v>43355.33</v>
      </c>
      <c r="L286" s="160">
        <v>33224.76</v>
      </c>
      <c r="M286" s="160">
        <v>-70546.720000000001</v>
      </c>
      <c r="N286" s="160">
        <v>362768.27</v>
      </c>
    </row>
    <row r="287" spans="1:14" x14ac:dyDescent="0.25">
      <c r="A287" s="157" t="s">
        <v>303</v>
      </c>
      <c r="B287" s="160">
        <v>48657.37</v>
      </c>
      <c r="C287" s="160">
        <v>59688.73</v>
      </c>
      <c r="D287" s="160">
        <v>43586.62</v>
      </c>
      <c r="E287" s="160">
        <v>42082.62</v>
      </c>
      <c r="F287" s="160">
        <v>50295.18</v>
      </c>
      <c r="G287" s="160">
        <v>49857.37</v>
      </c>
      <c r="H287" s="160">
        <v>42157.5</v>
      </c>
      <c r="I287" s="160">
        <v>39727.68</v>
      </c>
      <c r="J287" s="160">
        <v>37785.050000000003</v>
      </c>
      <c r="K287" s="160">
        <v>47170.46</v>
      </c>
      <c r="L287" s="160">
        <v>57934.36</v>
      </c>
      <c r="M287" s="160">
        <v>57428.46</v>
      </c>
      <c r="N287" s="160">
        <v>576371.4</v>
      </c>
    </row>
    <row r="288" spans="1:14" x14ac:dyDescent="0.25">
      <c r="A288" s="157" t="s">
        <v>304</v>
      </c>
      <c r="B288" s="160">
        <v>104834.87</v>
      </c>
      <c r="C288" s="160">
        <v>79062.070000000007</v>
      </c>
      <c r="D288" s="160">
        <v>72484.91</v>
      </c>
      <c r="E288" s="160">
        <v>82880.990000000005</v>
      </c>
      <c r="F288" s="160">
        <v>63141.9</v>
      </c>
      <c r="G288" s="160">
        <v>89274.23</v>
      </c>
      <c r="H288" s="160">
        <v>90565.28</v>
      </c>
      <c r="I288" s="160">
        <v>67900.78</v>
      </c>
      <c r="J288" s="160">
        <v>98122.6</v>
      </c>
      <c r="K288" s="160">
        <v>25336.06</v>
      </c>
      <c r="L288" s="160">
        <v>90457.52</v>
      </c>
      <c r="M288" s="160">
        <v>127697.21</v>
      </c>
      <c r="N288" s="160">
        <v>991758.42</v>
      </c>
    </row>
    <row r="289" spans="1:14" x14ac:dyDescent="0.25">
      <c r="A289" s="157" t="s">
        <v>305</v>
      </c>
      <c r="B289" s="160">
        <v>22907.06</v>
      </c>
      <c r="C289" s="160">
        <v>25448.32</v>
      </c>
      <c r="D289" s="160">
        <v>22096.76</v>
      </c>
      <c r="E289" s="160">
        <v>22385.279999999999</v>
      </c>
      <c r="F289" s="160">
        <v>20877.78</v>
      </c>
      <c r="G289" s="160">
        <v>21773.3</v>
      </c>
      <c r="H289" s="160">
        <v>32885.21</v>
      </c>
      <c r="I289" s="160">
        <v>38487.14</v>
      </c>
      <c r="J289" s="160">
        <v>22902.32</v>
      </c>
      <c r="K289" s="160">
        <v>35008.120000000003</v>
      </c>
      <c r="L289" s="160">
        <v>32670.73</v>
      </c>
      <c r="M289" s="160">
        <v>49791.35</v>
      </c>
      <c r="N289" s="160">
        <v>347233.37</v>
      </c>
    </row>
    <row r="290" spans="1:14" ht="30" x14ac:dyDescent="0.25">
      <c r="A290" s="157" t="s">
        <v>306</v>
      </c>
      <c r="B290" s="160">
        <v>7026</v>
      </c>
      <c r="C290" s="160">
        <v>2530.42</v>
      </c>
      <c r="D290" s="160">
        <v>2364.5700000000002</v>
      </c>
      <c r="E290" s="160">
        <v>3031.13</v>
      </c>
      <c r="F290" s="160">
        <v>5664.75</v>
      </c>
      <c r="G290" s="160">
        <v>3478.37</v>
      </c>
      <c r="H290" s="160">
        <v>5861.14</v>
      </c>
      <c r="I290" s="160">
        <v>4850.29</v>
      </c>
      <c r="J290" s="160">
        <v>-3419.95</v>
      </c>
      <c r="K290" s="160">
        <v>2479.48</v>
      </c>
      <c r="L290" s="160">
        <v>4030.07</v>
      </c>
      <c r="M290" s="160">
        <v>9614.9599999999991</v>
      </c>
      <c r="N290" s="160">
        <v>47511.23</v>
      </c>
    </row>
    <row r="291" spans="1:14" x14ac:dyDescent="0.25">
      <c r="A291" s="157" t="s">
        <v>307</v>
      </c>
      <c r="B291" s="160">
        <v>35392.120000000003</v>
      </c>
      <c r="C291" s="160">
        <v>28670.95</v>
      </c>
      <c r="D291" s="160">
        <v>26279.59</v>
      </c>
      <c r="E291" s="160">
        <v>25795.89</v>
      </c>
      <c r="F291" s="160">
        <v>31397.34</v>
      </c>
      <c r="G291" s="160">
        <v>34274.629999999997</v>
      </c>
      <c r="H291" s="160">
        <v>25407.75</v>
      </c>
      <c r="I291" s="160">
        <v>33344.43</v>
      </c>
      <c r="J291" s="160">
        <v>22316.27</v>
      </c>
      <c r="K291" s="160">
        <v>27469.23</v>
      </c>
      <c r="L291" s="160">
        <v>24855.61</v>
      </c>
      <c r="M291" s="160">
        <v>17358.29</v>
      </c>
      <c r="N291" s="160">
        <v>332562.09999999998</v>
      </c>
    </row>
    <row r="292" spans="1:14" x14ac:dyDescent="0.25">
      <c r="A292" s="157" t="s">
        <v>146</v>
      </c>
      <c r="B292" s="160">
        <v>3997.93</v>
      </c>
      <c r="C292" s="160">
        <v>-565.98</v>
      </c>
      <c r="D292" s="160">
        <v>700</v>
      </c>
      <c r="E292" s="160">
        <v>700</v>
      </c>
      <c r="F292" s="160">
        <v>700</v>
      </c>
      <c r="G292" s="160">
        <v>700</v>
      </c>
      <c r="H292" s="160">
        <v>837.26</v>
      </c>
      <c r="I292" s="160">
        <v>700</v>
      </c>
      <c r="J292" s="160">
        <v>700</v>
      </c>
      <c r="K292" s="160">
        <v>700</v>
      </c>
      <c r="L292" s="160">
        <v>700</v>
      </c>
      <c r="M292" s="160">
        <v>793.33</v>
      </c>
      <c r="N292" s="160">
        <v>10662.54</v>
      </c>
    </row>
    <row r="293" spans="1:14" x14ac:dyDescent="0.25">
      <c r="A293" s="157" t="s">
        <v>147</v>
      </c>
      <c r="B293" s="160">
        <v>8584.49</v>
      </c>
      <c r="C293" s="160">
        <v>8161.61</v>
      </c>
      <c r="D293" s="160">
        <v>11307.67</v>
      </c>
      <c r="E293" s="160">
        <v>11185.51</v>
      </c>
      <c r="F293" s="160">
        <v>9107.06</v>
      </c>
      <c r="G293" s="160">
        <v>9660.99</v>
      </c>
      <c r="H293" s="160">
        <v>10610.61</v>
      </c>
      <c r="I293" s="160">
        <v>9348.4500000000007</v>
      </c>
      <c r="J293" s="160">
        <v>14934.55</v>
      </c>
      <c r="K293" s="160">
        <v>16447.830000000002</v>
      </c>
      <c r="L293" s="160">
        <v>8351.83</v>
      </c>
      <c r="M293" s="160">
        <v>40415.589999999997</v>
      </c>
      <c r="N293" s="160">
        <v>158116.19</v>
      </c>
    </row>
    <row r="294" spans="1:14" x14ac:dyDescent="0.25">
      <c r="A294" s="157" t="s">
        <v>148</v>
      </c>
      <c r="B294" s="160">
        <v>4139.72</v>
      </c>
      <c r="C294" s="160">
        <v>4273.71</v>
      </c>
      <c r="D294" s="160">
        <v>5556.06</v>
      </c>
      <c r="E294" s="160">
        <v>2272.94</v>
      </c>
      <c r="F294" s="160">
        <v>7222.87</v>
      </c>
      <c r="G294" s="160">
        <v>-4209.16</v>
      </c>
      <c r="H294" s="160">
        <v>4199.96</v>
      </c>
      <c r="I294" s="160">
        <v>9180.32</v>
      </c>
      <c r="J294" s="160">
        <v>5715.65</v>
      </c>
      <c r="K294" s="160">
        <v>3787.67</v>
      </c>
      <c r="L294" s="160">
        <v>15257.98</v>
      </c>
      <c r="M294" s="160">
        <v>18290.36</v>
      </c>
      <c r="N294" s="160">
        <v>75688.08</v>
      </c>
    </row>
    <row r="295" spans="1:14" x14ac:dyDescent="0.25">
      <c r="A295" s="157" t="s">
        <v>149</v>
      </c>
      <c r="B295" s="160">
        <v>23006.67</v>
      </c>
      <c r="C295" s="160">
        <v>20873.28</v>
      </c>
      <c r="D295" s="160">
        <v>36808.239999999998</v>
      </c>
      <c r="E295" s="160">
        <v>24326.66</v>
      </c>
      <c r="F295" s="160">
        <v>25219.37</v>
      </c>
      <c r="G295" s="160">
        <v>23186.639999999999</v>
      </c>
      <c r="H295" s="160">
        <v>14594.15</v>
      </c>
      <c r="I295" s="160">
        <v>20560.39</v>
      </c>
      <c r="J295" s="160">
        <v>21031.56</v>
      </c>
      <c r="K295" s="160">
        <v>20739.57</v>
      </c>
      <c r="L295" s="160">
        <v>13733.76</v>
      </c>
      <c r="M295" s="160">
        <v>23268.82</v>
      </c>
      <c r="N295" s="160">
        <v>267349.11</v>
      </c>
    </row>
    <row r="296" spans="1:14" x14ac:dyDescent="0.25">
      <c r="A296" s="157" t="s">
        <v>150</v>
      </c>
      <c r="B296" s="166">
        <v>50569.11</v>
      </c>
      <c r="C296" s="166">
        <v>46236.04</v>
      </c>
      <c r="D296" s="166">
        <v>46431.07</v>
      </c>
      <c r="E296" s="166">
        <v>38720.92</v>
      </c>
      <c r="F296" s="166">
        <v>42051.07</v>
      </c>
      <c r="G296" s="166">
        <v>57590.720000000001</v>
      </c>
      <c r="H296" s="166">
        <v>51674.12</v>
      </c>
      <c r="I296" s="166">
        <v>56166.12</v>
      </c>
      <c r="J296" s="166">
        <v>55278.97</v>
      </c>
      <c r="K296" s="166">
        <v>32053.21</v>
      </c>
      <c r="L296" s="166">
        <v>63525.88</v>
      </c>
      <c r="M296" s="166">
        <v>18065.71</v>
      </c>
      <c r="N296" s="166">
        <v>558362.93999999994</v>
      </c>
    </row>
    <row r="297" spans="1:14" x14ac:dyDescent="0.25">
      <c r="A297" s="157" t="s">
        <v>151</v>
      </c>
      <c r="B297" s="160">
        <f t="shared" ref="B297:N297" si="29">SUM(B271:B296)</f>
        <v>1136325.1299999999</v>
      </c>
      <c r="C297" s="160">
        <f t="shared" si="29"/>
        <v>1256723.6000000001</v>
      </c>
      <c r="D297" s="160">
        <f t="shared" si="29"/>
        <v>1166040.1599999999</v>
      </c>
      <c r="E297" s="160">
        <f t="shared" si="29"/>
        <v>1139036.3199999996</v>
      </c>
      <c r="F297" s="160">
        <f t="shared" si="29"/>
        <v>1112275.1700000002</v>
      </c>
      <c r="G297" s="160">
        <f t="shared" si="29"/>
        <v>1107531.98</v>
      </c>
      <c r="H297" s="160">
        <f t="shared" si="29"/>
        <v>1165847.3</v>
      </c>
      <c r="I297" s="160">
        <f t="shared" si="29"/>
        <v>1182352.8799999999</v>
      </c>
      <c r="J297" s="160">
        <f t="shared" si="29"/>
        <v>1210021.8600000001</v>
      </c>
      <c r="K297" s="160">
        <f t="shared" si="29"/>
        <v>1135324.5900000001</v>
      </c>
      <c r="L297" s="160">
        <f t="shared" si="29"/>
        <v>1250552.9400000002</v>
      </c>
      <c r="M297" s="160">
        <f t="shared" si="29"/>
        <v>1057417.92</v>
      </c>
      <c r="N297" s="160">
        <f t="shared" si="29"/>
        <v>13919449.849999996</v>
      </c>
    </row>
    <row r="298" spans="1:14" x14ac:dyDescent="0.25">
      <c r="A298" s="157"/>
      <c r="B298" s="161"/>
      <c r="C298" s="161"/>
      <c r="D298" s="161"/>
      <c r="E298" s="161"/>
      <c r="F298" s="161"/>
      <c r="G298" s="161"/>
      <c r="H298" s="161"/>
      <c r="I298" s="161"/>
      <c r="J298" s="161"/>
      <c r="K298" s="161"/>
      <c r="L298" s="161"/>
      <c r="M298" s="161"/>
      <c r="N298" s="161"/>
    </row>
    <row r="299" spans="1:14" x14ac:dyDescent="0.25">
      <c r="A299" s="157" t="s">
        <v>308</v>
      </c>
      <c r="B299" s="160">
        <v>307882.49</v>
      </c>
      <c r="C299" s="160">
        <v>320328.81</v>
      </c>
      <c r="D299" s="160">
        <v>315068.67</v>
      </c>
      <c r="E299" s="160">
        <v>311995.84000000003</v>
      </c>
      <c r="F299" s="160">
        <v>314263.87</v>
      </c>
      <c r="G299" s="160">
        <v>318162.69</v>
      </c>
      <c r="H299" s="160">
        <v>302159.92</v>
      </c>
      <c r="I299" s="160">
        <v>329867.65999999997</v>
      </c>
      <c r="J299" s="160">
        <v>327827.46999999997</v>
      </c>
      <c r="K299" s="160">
        <v>321885.32</v>
      </c>
      <c r="L299" s="160">
        <v>309619.62</v>
      </c>
      <c r="M299" s="160">
        <v>334696.90999999997</v>
      </c>
      <c r="N299" s="160">
        <v>3813759.27</v>
      </c>
    </row>
    <row r="300" spans="1:14" x14ac:dyDescent="0.25">
      <c r="A300" s="157" t="s">
        <v>309</v>
      </c>
      <c r="B300" s="160">
        <v>22799.97</v>
      </c>
      <c r="C300" s="160">
        <v>21108.29</v>
      </c>
      <c r="D300" s="160">
        <v>17657.38</v>
      </c>
      <c r="E300" s="160">
        <v>13895.99</v>
      </c>
      <c r="F300" s="160">
        <v>12583.33</v>
      </c>
      <c r="G300" s="160">
        <v>10085.82</v>
      </c>
      <c r="H300" s="160">
        <v>10076.129999999999</v>
      </c>
      <c r="I300" s="160">
        <v>9654.58</v>
      </c>
      <c r="J300" s="160">
        <v>8283.06</v>
      </c>
      <c r="K300" s="160">
        <v>9386.81</v>
      </c>
      <c r="L300" s="160">
        <v>8837.11</v>
      </c>
      <c r="M300" s="160">
        <v>14563.17</v>
      </c>
      <c r="N300" s="160">
        <v>158931.64000000001</v>
      </c>
    </row>
    <row r="301" spans="1:14" x14ac:dyDescent="0.25">
      <c r="A301" s="157" t="s">
        <v>310</v>
      </c>
      <c r="B301" s="160">
        <v>132186.1</v>
      </c>
      <c r="C301" s="160">
        <v>149503.22</v>
      </c>
      <c r="D301" s="160">
        <v>129860.36</v>
      </c>
      <c r="E301" s="160">
        <v>134273.88</v>
      </c>
      <c r="F301" s="160">
        <v>144816.87</v>
      </c>
      <c r="G301" s="160">
        <v>149648.03</v>
      </c>
      <c r="H301" s="160">
        <v>142498.69</v>
      </c>
      <c r="I301" s="160">
        <v>130640.8</v>
      </c>
      <c r="J301" s="160">
        <v>117799.31</v>
      </c>
      <c r="K301" s="160">
        <v>103801.12</v>
      </c>
      <c r="L301" s="160">
        <v>112285.78</v>
      </c>
      <c r="M301" s="160">
        <v>114618.93</v>
      </c>
      <c r="N301" s="160">
        <v>1561933.09</v>
      </c>
    </row>
    <row r="302" spans="1:14" x14ac:dyDescent="0.25">
      <c r="A302" s="157" t="s">
        <v>311</v>
      </c>
      <c r="B302" s="160">
        <v>321884.37</v>
      </c>
      <c r="C302" s="160">
        <v>368814.66</v>
      </c>
      <c r="D302" s="160">
        <v>337696.22</v>
      </c>
      <c r="E302" s="160">
        <v>355714.04</v>
      </c>
      <c r="F302" s="160">
        <v>336875.64</v>
      </c>
      <c r="G302" s="160">
        <v>366707.73</v>
      </c>
      <c r="H302" s="160">
        <v>344442.35</v>
      </c>
      <c r="I302" s="160">
        <v>334024.55</v>
      </c>
      <c r="J302" s="160">
        <v>345271.4</v>
      </c>
      <c r="K302" s="160">
        <v>297231.69</v>
      </c>
      <c r="L302" s="160">
        <v>339552.97</v>
      </c>
      <c r="M302" s="160">
        <v>371730.04</v>
      </c>
      <c r="N302" s="160">
        <v>4119945.66</v>
      </c>
    </row>
    <row r="303" spans="1:14" x14ac:dyDescent="0.25">
      <c r="A303" s="157" t="s">
        <v>312</v>
      </c>
      <c r="B303" s="160">
        <v>128345.67</v>
      </c>
      <c r="C303" s="160">
        <v>146197.96</v>
      </c>
      <c r="D303" s="160">
        <v>148274.98000000001</v>
      </c>
      <c r="E303" s="160">
        <v>146729.04999999999</v>
      </c>
      <c r="F303" s="160">
        <v>144310.35999999999</v>
      </c>
      <c r="G303" s="160">
        <v>148067.57999999999</v>
      </c>
      <c r="H303" s="160">
        <v>146500.79</v>
      </c>
      <c r="I303" s="160">
        <v>149226.31</v>
      </c>
      <c r="J303" s="160">
        <v>150125.99</v>
      </c>
      <c r="K303" s="160">
        <v>146810.66</v>
      </c>
      <c r="L303" s="160">
        <v>136066.29999999999</v>
      </c>
      <c r="M303" s="160">
        <v>151383.76999999999</v>
      </c>
      <c r="N303" s="160">
        <v>1742039.42</v>
      </c>
    </row>
    <row r="304" spans="1:14" x14ac:dyDescent="0.25">
      <c r="A304" s="157" t="s">
        <v>313</v>
      </c>
      <c r="B304" s="160">
        <v>19363.14</v>
      </c>
      <c r="C304" s="160">
        <v>15323.63</v>
      </c>
      <c r="D304" s="160">
        <v>18840.97</v>
      </c>
      <c r="E304" s="160">
        <v>21061.66</v>
      </c>
      <c r="F304" s="160">
        <v>18939.13</v>
      </c>
      <c r="G304" s="160">
        <v>17433.849999999999</v>
      </c>
      <c r="H304" s="160">
        <v>20453.060000000001</v>
      </c>
      <c r="I304" s="160">
        <v>13440.4</v>
      </c>
      <c r="J304" s="160">
        <v>14739.51</v>
      </c>
      <c r="K304" s="160">
        <v>11840.96</v>
      </c>
      <c r="L304" s="160">
        <v>14025</v>
      </c>
      <c r="M304" s="160">
        <v>20248.900000000001</v>
      </c>
      <c r="N304" s="160">
        <v>205710.21</v>
      </c>
    </row>
    <row r="305" spans="1:14" x14ac:dyDescent="0.25">
      <c r="A305" s="157" t="s">
        <v>314</v>
      </c>
      <c r="B305" s="160">
        <v>106395.48</v>
      </c>
      <c r="C305" s="160">
        <v>33729.410000000003</v>
      </c>
      <c r="D305" s="160">
        <v>13332.32</v>
      </c>
      <c r="E305" s="160">
        <v>11749.26</v>
      </c>
      <c r="F305" s="160">
        <v>111597.5</v>
      </c>
      <c r="G305" s="160">
        <v>37097.56</v>
      </c>
      <c r="H305" s="160">
        <v>19917.82</v>
      </c>
      <c r="I305" s="160">
        <v>12559.88</v>
      </c>
      <c r="J305" s="160">
        <v>17070.3</v>
      </c>
      <c r="K305" s="160">
        <v>16467.259999999998</v>
      </c>
      <c r="L305" s="160">
        <v>16047.1</v>
      </c>
      <c r="M305" s="160">
        <v>16819.43</v>
      </c>
      <c r="N305" s="160">
        <v>412783.32</v>
      </c>
    </row>
    <row r="306" spans="1:14" x14ac:dyDescent="0.25">
      <c r="A306" s="157" t="s">
        <v>315</v>
      </c>
      <c r="B306" s="160">
        <v>136379.16</v>
      </c>
      <c r="C306" s="160">
        <v>63988.73</v>
      </c>
      <c r="D306" s="160">
        <v>44385.8</v>
      </c>
      <c r="E306" s="160">
        <v>59116.7</v>
      </c>
      <c r="F306" s="160">
        <v>54553.39</v>
      </c>
      <c r="G306" s="160">
        <v>77071.17</v>
      </c>
      <c r="H306" s="160">
        <v>62078.13</v>
      </c>
      <c r="I306" s="160">
        <v>77102.23</v>
      </c>
      <c r="J306" s="160">
        <v>55361.61</v>
      </c>
      <c r="K306" s="160">
        <v>64086.65</v>
      </c>
      <c r="L306" s="160">
        <v>69157.37</v>
      </c>
      <c r="M306" s="160">
        <v>113343.28</v>
      </c>
      <c r="N306" s="160">
        <v>876624.22</v>
      </c>
    </row>
    <row r="307" spans="1:14" x14ac:dyDescent="0.25">
      <c r="A307" s="157" t="s">
        <v>316</v>
      </c>
      <c r="B307" s="160">
        <v>1787.79</v>
      </c>
      <c r="C307" s="160">
        <v>-3226.3</v>
      </c>
      <c r="D307" s="160">
        <v>6328.09</v>
      </c>
      <c r="E307" s="160">
        <v>1695.1</v>
      </c>
      <c r="F307" s="160">
        <v>956.31</v>
      </c>
      <c r="G307" s="160">
        <v>5110.62</v>
      </c>
      <c r="H307" s="160">
        <v>-15854.89</v>
      </c>
      <c r="I307" s="160">
        <v>-4562.1899999999996</v>
      </c>
      <c r="J307" s="160">
        <v>-7372.99</v>
      </c>
      <c r="K307" s="160">
        <v>8824.6200000000008</v>
      </c>
      <c r="L307" s="160">
        <v>548.21</v>
      </c>
      <c r="M307" s="160">
        <v>-5229.28</v>
      </c>
      <c r="N307" s="160">
        <v>-10994.91</v>
      </c>
    </row>
    <row r="308" spans="1:14" x14ac:dyDescent="0.25">
      <c r="A308" s="157" t="s">
        <v>317</v>
      </c>
      <c r="B308" s="160">
        <v>-574497.4</v>
      </c>
      <c r="C308" s="160">
        <v>24788.32</v>
      </c>
      <c r="D308" s="160">
        <v>27830.29</v>
      </c>
      <c r="E308" s="160">
        <v>-37455.839999999997</v>
      </c>
      <c r="F308" s="160">
        <v>-25577.59</v>
      </c>
      <c r="G308" s="160">
        <v>-1588.78</v>
      </c>
      <c r="H308" s="160">
        <v>-1808.38</v>
      </c>
      <c r="I308" s="160">
        <v>214.61</v>
      </c>
      <c r="J308" s="160">
        <v>-2634.08</v>
      </c>
      <c r="K308" s="160">
        <v>47461.48</v>
      </c>
      <c r="L308" s="160">
        <v>47220.51</v>
      </c>
      <c r="M308" s="160">
        <v>59896.800000000003</v>
      </c>
      <c r="N308" s="160">
        <v>-436150.06</v>
      </c>
    </row>
    <row r="309" spans="1:14" x14ac:dyDescent="0.25">
      <c r="A309" s="157" t="s">
        <v>318</v>
      </c>
      <c r="B309" s="160">
        <v>78236.47</v>
      </c>
      <c r="C309" s="160">
        <v>161423.67999999999</v>
      </c>
      <c r="D309" s="160">
        <v>109640.46</v>
      </c>
      <c r="E309" s="160">
        <v>110594.63</v>
      </c>
      <c r="F309" s="160">
        <v>110876.14</v>
      </c>
      <c r="G309" s="160">
        <v>100161.85</v>
      </c>
      <c r="H309" s="160">
        <v>94968.27</v>
      </c>
      <c r="I309" s="160">
        <v>96029.45</v>
      </c>
      <c r="J309" s="160">
        <v>92715.9</v>
      </c>
      <c r="K309" s="160">
        <v>85895.27</v>
      </c>
      <c r="L309" s="160">
        <v>88031.3</v>
      </c>
      <c r="M309" s="160">
        <v>98060.49</v>
      </c>
      <c r="N309" s="160">
        <v>1226633.9099999999</v>
      </c>
    </row>
    <row r="310" spans="1:14" x14ac:dyDescent="0.25">
      <c r="A310" s="157" t="s">
        <v>319</v>
      </c>
      <c r="B310" s="160">
        <v>0</v>
      </c>
      <c r="C310" s="160">
        <v>8145</v>
      </c>
      <c r="D310" s="160">
        <v>4470</v>
      </c>
      <c r="E310" s="160">
        <v>0</v>
      </c>
      <c r="F310" s="160">
        <v>0</v>
      </c>
      <c r="G310" s="160">
        <v>0</v>
      </c>
      <c r="H310" s="160">
        <v>0</v>
      </c>
      <c r="I310" s="160">
        <v>0</v>
      </c>
      <c r="J310" s="160">
        <v>0</v>
      </c>
      <c r="K310" s="160">
        <v>0</v>
      </c>
      <c r="L310" s="160">
        <v>0</v>
      </c>
      <c r="M310" s="160">
        <v>0</v>
      </c>
      <c r="N310" s="160">
        <v>12615</v>
      </c>
    </row>
    <row r="311" spans="1:14" x14ac:dyDescent="0.25">
      <c r="A311" s="157" t="s">
        <v>320</v>
      </c>
      <c r="B311" s="160">
        <v>131993.60999999999</v>
      </c>
      <c r="C311" s="160">
        <v>131993.60999999999</v>
      </c>
      <c r="D311" s="160">
        <v>192106.11</v>
      </c>
      <c r="E311" s="160">
        <v>192106.11</v>
      </c>
      <c r="F311" s="160">
        <v>252218.61</v>
      </c>
      <c r="G311" s="160">
        <v>196590.49</v>
      </c>
      <c r="H311" s="160">
        <v>23717.37</v>
      </c>
      <c r="I311" s="160">
        <v>110153.93</v>
      </c>
      <c r="J311" s="160">
        <v>96439.3</v>
      </c>
      <c r="K311" s="160">
        <v>96439.3</v>
      </c>
      <c r="L311" s="160">
        <v>97601.98</v>
      </c>
      <c r="M311" s="160">
        <v>110195.76</v>
      </c>
      <c r="N311" s="160">
        <v>1631556.18</v>
      </c>
    </row>
    <row r="312" spans="1:14" ht="30" x14ac:dyDescent="0.25">
      <c r="A312" s="157" t="s">
        <v>321</v>
      </c>
      <c r="B312" s="160">
        <v>-250938.69</v>
      </c>
      <c r="C312" s="160">
        <v>63086.6</v>
      </c>
      <c r="D312" s="160">
        <v>98406.53</v>
      </c>
      <c r="E312" s="160">
        <v>78084.679999999993</v>
      </c>
      <c r="F312" s="160">
        <v>122665.39</v>
      </c>
      <c r="G312" s="160">
        <v>143316.59</v>
      </c>
      <c r="H312" s="160">
        <v>142820.67000000001</v>
      </c>
      <c r="I312" s="160">
        <v>156575.51999999999</v>
      </c>
      <c r="J312" s="160">
        <v>174315.25</v>
      </c>
      <c r="K312" s="160">
        <v>178858.81</v>
      </c>
      <c r="L312" s="160">
        <v>178858.8</v>
      </c>
      <c r="M312" s="160">
        <v>200987.14</v>
      </c>
      <c r="N312" s="160">
        <v>1287037.29</v>
      </c>
    </row>
    <row r="313" spans="1:14" x14ac:dyDescent="0.25">
      <c r="A313" s="157" t="s">
        <v>152</v>
      </c>
      <c r="B313" s="160">
        <v>320</v>
      </c>
      <c r="C313" s="160">
        <v>26.56</v>
      </c>
      <c r="D313" s="160">
        <v>0</v>
      </c>
      <c r="E313" s="160">
        <v>956.04</v>
      </c>
      <c r="F313" s="160">
        <v>3893.38</v>
      </c>
      <c r="G313" s="160">
        <v>1250.0999999999999</v>
      </c>
      <c r="H313" s="160">
        <v>-352</v>
      </c>
      <c r="I313" s="160">
        <v>400</v>
      </c>
      <c r="J313" s="160">
        <v>922.91</v>
      </c>
      <c r="K313" s="160">
        <v>0</v>
      </c>
      <c r="L313" s="160">
        <v>0</v>
      </c>
      <c r="M313" s="160">
        <v>143</v>
      </c>
      <c r="N313" s="160">
        <v>7559.99</v>
      </c>
    </row>
    <row r="314" spans="1:14" x14ac:dyDescent="0.25">
      <c r="A314" s="157" t="s">
        <v>153</v>
      </c>
      <c r="B314" s="160">
        <v>2252.84</v>
      </c>
      <c r="C314" s="160">
        <v>1285.33</v>
      </c>
      <c r="D314" s="160">
        <v>153.66999999999999</v>
      </c>
      <c r="E314" s="160">
        <v>509.97</v>
      </c>
      <c r="F314" s="160">
        <v>332.68</v>
      </c>
      <c r="G314" s="160">
        <v>171.94</v>
      </c>
      <c r="H314" s="160">
        <v>371.35</v>
      </c>
      <c r="I314" s="160">
        <v>978.8</v>
      </c>
      <c r="J314" s="160">
        <v>2746.52</v>
      </c>
      <c r="K314" s="160">
        <v>2695.64</v>
      </c>
      <c r="L314" s="160">
        <v>5229.09</v>
      </c>
      <c r="M314" s="160">
        <v>6811.28</v>
      </c>
      <c r="N314" s="160">
        <v>23539.11</v>
      </c>
    </row>
    <row r="315" spans="1:14" x14ac:dyDescent="0.25">
      <c r="A315" s="157" t="s">
        <v>322</v>
      </c>
      <c r="B315" s="160">
        <v>-839.19</v>
      </c>
      <c r="C315" s="160">
        <v>565.73</v>
      </c>
      <c r="D315" s="160">
        <v>3663.08</v>
      </c>
      <c r="E315" s="160">
        <v>1173.98</v>
      </c>
      <c r="F315" s="160">
        <v>1537.11</v>
      </c>
      <c r="G315" s="160">
        <v>2835.63</v>
      </c>
      <c r="H315" s="160">
        <v>2296.9899999999998</v>
      </c>
      <c r="I315" s="160">
        <v>428.69</v>
      </c>
      <c r="J315" s="160">
        <v>929.95</v>
      </c>
      <c r="K315" s="160">
        <v>614.82000000000005</v>
      </c>
      <c r="L315" s="160">
        <v>1052.76</v>
      </c>
      <c r="M315" s="160">
        <v>9842.0400000000009</v>
      </c>
      <c r="N315" s="160">
        <v>24101.59</v>
      </c>
    </row>
    <row r="316" spans="1:14" x14ac:dyDescent="0.25">
      <c r="A316" s="157" t="s">
        <v>323</v>
      </c>
      <c r="B316" s="160">
        <v>37183.199999999997</v>
      </c>
      <c r="C316" s="160">
        <v>25435.18</v>
      </c>
      <c r="D316" s="160">
        <v>31990.19</v>
      </c>
      <c r="E316" s="160">
        <v>29398.35</v>
      </c>
      <c r="F316" s="160">
        <v>19024.439999999999</v>
      </c>
      <c r="G316" s="160">
        <v>19609.580000000002</v>
      </c>
      <c r="H316" s="160">
        <v>33183.08</v>
      </c>
      <c r="I316" s="160">
        <v>43817.62</v>
      </c>
      <c r="J316" s="160">
        <v>22473.99</v>
      </c>
      <c r="K316" s="160">
        <v>10356.94</v>
      </c>
      <c r="L316" s="160">
        <v>13542</v>
      </c>
      <c r="M316" s="160">
        <v>62541.919999999998</v>
      </c>
      <c r="N316" s="160">
        <v>348556.49</v>
      </c>
    </row>
    <row r="317" spans="1:14" ht="30" x14ac:dyDescent="0.25">
      <c r="A317" s="157" t="s">
        <v>324</v>
      </c>
      <c r="B317" s="160">
        <v>-5340</v>
      </c>
      <c r="C317" s="160">
        <v>0</v>
      </c>
      <c r="D317" s="160">
        <v>0</v>
      </c>
      <c r="E317" s="160">
        <v>0</v>
      </c>
      <c r="F317" s="160">
        <v>0</v>
      </c>
      <c r="G317" s="160">
        <v>0</v>
      </c>
      <c r="H317" s="160">
        <v>0</v>
      </c>
      <c r="I317" s="160">
        <v>0</v>
      </c>
      <c r="J317" s="160">
        <v>0</v>
      </c>
      <c r="K317" s="160">
        <v>0</v>
      </c>
      <c r="L317" s="160">
        <v>0</v>
      </c>
      <c r="M317" s="160">
        <v>0</v>
      </c>
      <c r="N317" s="160">
        <v>-5340</v>
      </c>
    </row>
    <row r="318" spans="1:14" x14ac:dyDescent="0.25">
      <c r="A318" s="157" t="s">
        <v>325</v>
      </c>
      <c r="B318" s="160">
        <v>5918.76</v>
      </c>
      <c r="C318" s="160">
        <v>11981.96</v>
      </c>
      <c r="D318" s="160">
        <v>3959.38</v>
      </c>
      <c r="E318" s="160">
        <v>7599.58</v>
      </c>
      <c r="F318" s="160">
        <v>5162.55</v>
      </c>
      <c r="G318" s="160">
        <v>2308.58</v>
      </c>
      <c r="H318" s="160">
        <v>-1303.8499999999999</v>
      </c>
      <c r="I318" s="160">
        <v>8260.2099999999991</v>
      </c>
      <c r="J318" s="160">
        <v>3989.48</v>
      </c>
      <c r="K318" s="160">
        <v>4755.4799999999996</v>
      </c>
      <c r="L318" s="160">
        <v>8606.74</v>
      </c>
      <c r="M318" s="160">
        <v>10653.08</v>
      </c>
      <c r="N318" s="160">
        <v>71891.95</v>
      </c>
    </row>
    <row r="319" spans="1:14" ht="30" x14ac:dyDescent="0.25">
      <c r="A319" s="157" t="s">
        <v>326</v>
      </c>
      <c r="B319" s="160">
        <v>0</v>
      </c>
      <c r="C319" s="160">
        <v>0</v>
      </c>
      <c r="D319" s="160">
        <v>301.92</v>
      </c>
      <c r="E319" s="160">
        <v>139.91</v>
      </c>
      <c r="F319" s="160">
        <v>825.88</v>
      </c>
      <c r="G319" s="160">
        <v>125.3</v>
      </c>
      <c r="H319" s="160">
        <v>63.11</v>
      </c>
      <c r="I319" s="160">
        <v>191.46</v>
      </c>
      <c r="J319" s="160">
        <v>699.96</v>
      </c>
      <c r="K319" s="160">
        <v>3725.73</v>
      </c>
      <c r="L319" s="160">
        <v>645.65</v>
      </c>
      <c r="M319" s="160">
        <v>1363.02</v>
      </c>
      <c r="N319" s="160">
        <v>8081.94</v>
      </c>
    </row>
    <row r="320" spans="1:14" ht="30" x14ac:dyDescent="0.25">
      <c r="A320" s="157" t="s">
        <v>327</v>
      </c>
      <c r="B320" s="160">
        <v>7087.62</v>
      </c>
      <c r="C320" s="160">
        <v>6678.03</v>
      </c>
      <c r="D320" s="160">
        <v>4301.96</v>
      </c>
      <c r="E320" s="160">
        <v>4868.49</v>
      </c>
      <c r="F320" s="160">
        <v>4218.99</v>
      </c>
      <c r="G320" s="160">
        <v>5526.38</v>
      </c>
      <c r="H320" s="160">
        <v>3271.79</v>
      </c>
      <c r="I320" s="160">
        <v>4328.95</v>
      </c>
      <c r="J320" s="160">
        <v>7291.27</v>
      </c>
      <c r="K320" s="160">
        <v>7060.91</v>
      </c>
      <c r="L320" s="160">
        <v>9719.61</v>
      </c>
      <c r="M320" s="160">
        <v>11388.09</v>
      </c>
      <c r="N320" s="160">
        <v>75742.09</v>
      </c>
    </row>
    <row r="321" spans="1:14" x14ac:dyDescent="0.25">
      <c r="A321" s="157" t="s">
        <v>328</v>
      </c>
      <c r="B321" s="160">
        <v>26290.55</v>
      </c>
      <c r="C321" s="160">
        <v>21657.39</v>
      </c>
      <c r="D321" s="160">
        <v>21632.39</v>
      </c>
      <c r="E321" s="160">
        <v>21327.63</v>
      </c>
      <c r="F321" s="160">
        <v>21542.47</v>
      </c>
      <c r="G321" s="160">
        <v>21392.47</v>
      </c>
      <c r="H321" s="160">
        <v>21391.99</v>
      </c>
      <c r="I321" s="160">
        <v>21392.39</v>
      </c>
      <c r="J321" s="160">
        <v>21392.39</v>
      </c>
      <c r="K321" s="160">
        <v>21392.39</v>
      </c>
      <c r="L321" s="160">
        <v>21392.39</v>
      </c>
      <c r="M321" s="160">
        <v>18622.62</v>
      </c>
      <c r="N321" s="160">
        <v>259427.07</v>
      </c>
    </row>
    <row r="322" spans="1:14" x14ac:dyDescent="0.25">
      <c r="A322" s="157" t="s">
        <v>329</v>
      </c>
      <c r="B322" s="160">
        <v>11292.56</v>
      </c>
      <c r="C322" s="160">
        <v>14860.63</v>
      </c>
      <c r="D322" s="160">
        <v>1043.67</v>
      </c>
      <c r="E322" s="160">
        <v>28645.85</v>
      </c>
      <c r="F322" s="160">
        <v>27579.25</v>
      </c>
      <c r="G322" s="160">
        <v>27697.71</v>
      </c>
      <c r="H322" s="160">
        <v>39563.519999999997</v>
      </c>
      <c r="I322" s="160">
        <v>-34038.68</v>
      </c>
      <c r="J322" s="160">
        <v>12363.73</v>
      </c>
      <c r="K322" s="160">
        <v>8131.74</v>
      </c>
      <c r="L322" s="160">
        <v>8716.02</v>
      </c>
      <c r="M322" s="160">
        <v>13117.8</v>
      </c>
      <c r="N322" s="160">
        <v>158973.79999999999</v>
      </c>
    </row>
    <row r="323" spans="1:14" x14ac:dyDescent="0.25">
      <c r="A323" s="157" t="s">
        <v>330</v>
      </c>
      <c r="B323" s="160">
        <v>25941.17</v>
      </c>
      <c r="C323" s="160">
        <v>25461.88</v>
      </c>
      <c r="D323" s="160">
        <v>21645.56</v>
      </c>
      <c r="E323" s="160">
        <v>22369.03</v>
      </c>
      <c r="F323" s="160">
        <v>21339.16</v>
      </c>
      <c r="G323" s="160">
        <v>21252.39</v>
      </c>
      <c r="H323" s="160">
        <v>21447.72</v>
      </c>
      <c r="I323" s="160">
        <v>20854.59</v>
      </c>
      <c r="J323" s="160">
        <v>20854.560000000001</v>
      </c>
      <c r="K323" s="160">
        <v>19842.77</v>
      </c>
      <c r="L323" s="160">
        <v>20004.59</v>
      </c>
      <c r="M323" s="160">
        <v>19716.02</v>
      </c>
      <c r="N323" s="160">
        <v>260729.44</v>
      </c>
    </row>
    <row r="324" spans="1:14" x14ac:dyDescent="0.25">
      <c r="A324" s="157" t="s">
        <v>331</v>
      </c>
      <c r="B324" s="160">
        <v>27067.06</v>
      </c>
      <c r="C324" s="160">
        <v>27067.06</v>
      </c>
      <c r="D324" s="160">
        <v>27067.06</v>
      </c>
      <c r="E324" s="160">
        <v>27067.06</v>
      </c>
      <c r="F324" s="160">
        <v>27067.06</v>
      </c>
      <c r="G324" s="160">
        <v>27067.06</v>
      </c>
      <c r="H324" s="160">
        <v>27067.06</v>
      </c>
      <c r="I324" s="160">
        <v>27067.06</v>
      </c>
      <c r="J324" s="160">
        <v>27067.06</v>
      </c>
      <c r="K324" s="160">
        <v>27067.06</v>
      </c>
      <c r="L324" s="160">
        <v>27067.06</v>
      </c>
      <c r="M324" s="160">
        <v>27067.06</v>
      </c>
      <c r="N324" s="160">
        <v>324804.71999999997</v>
      </c>
    </row>
    <row r="325" spans="1:14" x14ac:dyDescent="0.25">
      <c r="A325" s="157" t="s">
        <v>332</v>
      </c>
      <c r="B325" s="160">
        <v>1955.25</v>
      </c>
      <c r="C325" s="160">
        <v>0</v>
      </c>
      <c r="D325" s="160">
        <v>1133</v>
      </c>
      <c r="E325" s="160">
        <v>2900</v>
      </c>
      <c r="F325" s="160">
        <v>741.25</v>
      </c>
      <c r="G325" s="160">
        <v>30</v>
      </c>
      <c r="H325" s="160">
        <v>0</v>
      </c>
      <c r="I325" s="160">
        <v>107.24</v>
      </c>
      <c r="J325" s="160">
        <v>-6328.2</v>
      </c>
      <c r="K325" s="160">
        <v>80</v>
      </c>
      <c r="L325" s="160">
        <v>48</v>
      </c>
      <c r="M325" s="160">
        <v>-2067.12</v>
      </c>
      <c r="N325" s="160">
        <v>-1400.58</v>
      </c>
    </row>
    <row r="326" spans="1:14" ht="30" x14ac:dyDescent="0.25">
      <c r="A326" s="157" t="s">
        <v>333</v>
      </c>
      <c r="B326" s="160">
        <v>2230</v>
      </c>
      <c r="C326" s="160">
        <v>8219.82</v>
      </c>
      <c r="D326" s="160">
        <v>9528.25</v>
      </c>
      <c r="E326" s="160">
        <v>33272.5</v>
      </c>
      <c r="F326" s="160">
        <v>-0.03</v>
      </c>
      <c r="G326" s="160">
        <v>17716.650000000001</v>
      </c>
      <c r="H326" s="160">
        <v>347869.85</v>
      </c>
      <c r="I326" s="160">
        <v>34633.25</v>
      </c>
      <c r="J326" s="160">
        <v>300</v>
      </c>
      <c r="K326" s="160">
        <v>232412.75</v>
      </c>
      <c r="L326" s="160">
        <v>172046.31</v>
      </c>
      <c r="M326" s="160">
        <v>193789.25</v>
      </c>
      <c r="N326" s="160">
        <v>1052018.6000000001</v>
      </c>
    </row>
    <row r="327" spans="1:14" x14ac:dyDescent="0.25">
      <c r="A327" s="157" t="s">
        <v>334</v>
      </c>
      <c r="B327" s="160">
        <v>0</v>
      </c>
      <c r="C327" s="160">
        <v>412</v>
      </c>
      <c r="D327" s="160">
        <v>0</v>
      </c>
      <c r="E327" s="160">
        <v>988.28</v>
      </c>
      <c r="F327" s="160">
        <v>0</v>
      </c>
      <c r="G327" s="160">
        <v>250</v>
      </c>
      <c r="H327" s="160">
        <v>0</v>
      </c>
      <c r="I327" s="160">
        <v>0</v>
      </c>
      <c r="J327" s="160">
        <v>0</v>
      </c>
      <c r="K327" s="160">
        <v>0</v>
      </c>
      <c r="L327" s="160">
        <v>0</v>
      </c>
      <c r="M327" s="160">
        <v>0</v>
      </c>
      <c r="N327" s="160">
        <v>1650.28</v>
      </c>
    </row>
    <row r="328" spans="1:14" x14ac:dyDescent="0.25">
      <c r="A328" s="157" t="s">
        <v>335</v>
      </c>
      <c r="B328" s="160">
        <v>36558.21</v>
      </c>
      <c r="C328" s="160">
        <v>1980.7</v>
      </c>
      <c r="D328" s="160">
        <v>1980.7</v>
      </c>
      <c r="E328" s="160">
        <v>1980.7</v>
      </c>
      <c r="F328" s="160">
        <v>2117.3000000000002</v>
      </c>
      <c r="G328" s="160">
        <v>1844.1</v>
      </c>
      <c r="H328" s="160">
        <v>1980.78</v>
      </c>
      <c r="I328" s="160">
        <v>1980.78</v>
      </c>
      <c r="J328" s="160">
        <v>1980.78</v>
      </c>
      <c r="K328" s="160">
        <v>1980.78</v>
      </c>
      <c r="L328" s="160">
        <v>-5942.34</v>
      </c>
      <c r="M328" s="160">
        <v>0</v>
      </c>
      <c r="N328" s="160">
        <v>48442.49</v>
      </c>
    </row>
    <row r="329" spans="1:14" x14ac:dyDescent="0.25">
      <c r="A329" s="157" t="s">
        <v>336</v>
      </c>
      <c r="B329" s="160">
        <v>0</v>
      </c>
      <c r="C329" s="160">
        <v>1225</v>
      </c>
      <c r="D329" s="160">
        <v>300</v>
      </c>
      <c r="E329" s="160">
        <v>0</v>
      </c>
      <c r="F329" s="160">
        <v>0</v>
      </c>
      <c r="G329" s="160">
        <v>455</v>
      </c>
      <c r="H329" s="160">
        <v>1610</v>
      </c>
      <c r="I329" s="160">
        <v>625</v>
      </c>
      <c r="J329" s="160">
        <v>300</v>
      </c>
      <c r="K329" s="160">
        <v>850</v>
      </c>
      <c r="L329" s="160">
        <v>675</v>
      </c>
      <c r="M329" s="160">
        <v>1260</v>
      </c>
      <c r="N329" s="160">
        <v>7300</v>
      </c>
    </row>
    <row r="330" spans="1:14" x14ac:dyDescent="0.25">
      <c r="A330" s="157" t="s">
        <v>154</v>
      </c>
      <c r="B330" s="160">
        <v>89500.7</v>
      </c>
      <c r="C330" s="160">
        <v>58361.31</v>
      </c>
      <c r="D330" s="160">
        <v>90087.15</v>
      </c>
      <c r="E330" s="160">
        <v>93250.65</v>
      </c>
      <c r="F330" s="160">
        <v>93754.43</v>
      </c>
      <c r="G330" s="160">
        <v>99375.11</v>
      </c>
      <c r="H330" s="160">
        <v>131764.68</v>
      </c>
      <c r="I330" s="160">
        <v>156834.64000000001</v>
      </c>
      <c r="J330" s="160">
        <v>130856.55</v>
      </c>
      <c r="K330" s="160">
        <v>127764.48</v>
      </c>
      <c r="L330" s="160">
        <v>120815.01</v>
      </c>
      <c r="M330" s="160">
        <v>141817.21</v>
      </c>
      <c r="N330" s="160">
        <v>1334181.92</v>
      </c>
    </row>
    <row r="331" spans="1:14" ht="30" x14ac:dyDescent="0.25">
      <c r="A331" s="157" t="s">
        <v>155</v>
      </c>
      <c r="B331" s="160">
        <v>2134.71</v>
      </c>
      <c r="C331" s="160">
        <v>6085.44</v>
      </c>
      <c r="D331" s="160">
        <v>6640.88</v>
      </c>
      <c r="E331" s="160">
        <v>11536.7</v>
      </c>
      <c r="F331" s="160">
        <v>4786.8599999999997</v>
      </c>
      <c r="G331" s="160">
        <v>7016.26</v>
      </c>
      <c r="H331" s="160">
        <v>3511.58</v>
      </c>
      <c r="I331" s="160">
        <v>5843.24</v>
      </c>
      <c r="J331" s="160">
        <v>3770.67</v>
      </c>
      <c r="K331" s="160">
        <v>5261.49</v>
      </c>
      <c r="L331" s="160">
        <v>4571.0200000000004</v>
      </c>
      <c r="M331" s="160">
        <v>1295.17</v>
      </c>
      <c r="N331" s="160">
        <v>62454.02</v>
      </c>
    </row>
    <row r="332" spans="1:14" x14ac:dyDescent="0.25">
      <c r="A332" s="157" t="s">
        <v>156</v>
      </c>
      <c r="B332" s="160">
        <v>18177.04</v>
      </c>
      <c r="C332" s="160">
        <v>34009.65</v>
      </c>
      <c r="D332" s="160">
        <v>17490.61</v>
      </c>
      <c r="E332" s="160">
        <v>16794.02</v>
      </c>
      <c r="F332" s="160">
        <v>12244.4</v>
      </c>
      <c r="G332" s="160">
        <v>12901.29</v>
      </c>
      <c r="H332" s="160">
        <v>11797.86</v>
      </c>
      <c r="I332" s="160">
        <v>9911.3700000000008</v>
      </c>
      <c r="J332" s="160">
        <v>10281.74</v>
      </c>
      <c r="K332" s="160">
        <v>9330.86</v>
      </c>
      <c r="L332" s="160">
        <v>31229.54</v>
      </c>
      <c r="M332" s="160">
        <v>17669.38</v>
      </c>
      <c r="N332" s="160">
        <v>201837.76</v>
      </c>
    </row>
    <row r="333" spans="1:14" x14ac:dyDescent="0.25">
      <c r="A333" s="157" t="s">
        <v>157</v>
      </c>
      <c r="B333" s="160">
        <v>1373.14</v>
      </c>
      <c r="C333" s="160">
        <v>1325.12</v>
      </c>
      <c r="D333" s="160">
        <v>3246.35</v>
      </c>
      <c r="E333" s="160">
        <v>2337.9</v>
      </c>
      <c r="F333" s="160">
        <v>2818.05</v>
      </c>
      <c r="G333" s="160">
        <v>1767.04</v>
      </c>
      <c r="H333" s="160">
        <v>707.92</v>
      </c>
      <c r="I333" s="160">
        <v>1914.3</v>
      </c>
      <c r="J333" s="160">
        <v>1316.39</v>
      </c>
      <c r="K333" s="160">
        <v>1471.21</v>
      </c>
      <c r="L333" s="160">
        <v>2238.11</v>
      </c>
      <c r="M333" s="160">
        <v>1270.3399999999999</v>
      </c>
      <c r="N333" s="160">
        <v>21785.87</v>
      </c>
    </row>
    <row r="334" spans="1:14" x14ac:dyDescent="0.25">
      <c r="A334" s="157" t="s">
        <v>158</v>
      </c>
      <c r="B334" s="160">
        <v>9735.5300000000007</v>
      </c>
      <c r="C334" s="160">
        <v>6451.51</v>
      </c>
      <c r="D334" s="160">
        <v>8780.2800000000007</v>
      </c>
      <c r="E334" s="160">
        <v>3706.4</v>
      </c>
      <c r="F334" s="160">
        <v>4908.1899999999996</v>
      </c>
      <c r="G334" s="160">
        <v>7906.22</v>
      </c>
      <c r="H334" s="160">
        <v>11023.93</v>
      </c>
      <c r="I334" s="160">
        <v>4393.6000000000004</v>
      </c>
      <c r="J334" s="160">
        <v>14059.42</v>
      </c>
      <c r="K334" s="160">
        <v>7308.26</v>
      </c>
      <c r="L334" s="160">
        <v>7362.5</v>
      </c>
      <c r="M334" s="160">
        <v>7458.3</v>
      </c>
      <c r="N334" s="160">
        <v>93094.14</v>
      </c>
    </row>
    <row r="335" spans="1:14" x14ac:dyDescent="0.25">
      <c r="A335" s="157" t="s">
        <v>159</v>
      </c>
      <c r="B335" s="160">
        <v>352877.89</v>
      </c>
      <c r="C335" s="160">
        <v>351125.54</v>
      </c>
      <c r="D335" s="160">
        <v>325087.3</v>
      </c>
      <c r="E335" s="160">
        <v>350351.27</v>
      </c>
      <c r="F335" s="160">
        <v>340037.35</v>
      </c>
      <c r="G335" s="160">
        <v>352869</v>
      </c>
      <c r="H335" s="160">
        <v>329287.74</v>
      </c>
      <c r="I335" s="160">
        <v>352604.35</v>
      </c>
      <c r="J335" s="160">
        <v>340819.11</v>
      </c>
      <c r="K335" s="160">
        <v>332867.46999999997</v>
      </c>
      <c r="L335" s="160">
        <v>350415.69</v>
      </c>
      <c r="M335" s="160">
        <v>377013.13</v>
      </c>
      <c r="N335" s="160">
        <v>4155355.84</v>
      </c>
    </row>
    <row r="336" spans="1:14" x14ac:dyDescent="0.25">
      <c r="A336" s="157" t="s">
        <v>160</v>
      </c>
      <c r="B336" s="160">
        <v>13072.99</v>
      </c>
      <c r="C336" s="160">
        <v>17344.099999999999</v>
      </c>
      <c r="D336" s="160">
        <v>17327.04</v>
      </c>
      <c r="E336" s="160">
        <v>21250.41</v>
      </c>
      <c r="F336" s="160">
        <v>11265.41</v>
      </c>
      <c r="G336" s="160">
        <v>16042.88</v>
      </c>
      <c r="H336" s="160">
        <v>14628.93</v>
      </c>
      <c r="I336" s="160">
        <v>12414.32</v>
      </c>
      <c r="J336" s="160">
        <v>9351.5300000000007</v>
      </c>
      <c r="K336" s="160">
        <v>9607.7900000000009</v>
      </c>
      <c r="L336" s="160">
        <v>18551.89</v>
      </c>
      <c r="M336" s="160">
        <v>18097.84</v>
      </c>
      <c r="N336" s="160">
        <v>178955.13</v>
      </c>
    </row>
    <row r="337" spans="1:14" x14ac:dyDescent="0.25">
      <c r="A337" s="157" t="s">
        <v>161</v>
      </c>
      <c r="B337" s="160">
        <v>-20836.89</v>
      </c>
      <c r="C337" s="160">
        <v>9477.98</v>
      </c>
      <c r="D337" s="160">
        <v>-82.09</v>
      </c>
      <c r="E337" s="160">
        <v>-29821.97</v>
      </c>
      <c r="F337" s="160">
        <v>12919.2</v>
      </c>
      <c r="G337" s="160">
        <v>2676.62</v>
      </c>
      <c r="H337" s="160">
        <v>-645.27</v>
      </c>
      <c r="I337" s="160">
        <v>1569.31</v>
      </c>
      <c r="J337" s="160">
        <v>1569.33</v>
      </c>
      <c r="K337" s="160">
        <v>1452.51</v>
      </c>
      <c r="L337" s="160">
        <v>1530.37</v>
      </c>
      <c r="M337" s="160">
        <v>1530.37</v>
      </c>
      <c r="N337" s="160">
        <v>-18660.53</v>
      </c>
    </row>
    <row r="338" spans="1:14" x14ac:dyDescent="0.25">
      <c r="A338" s="157" t="s">
        <v>162</v>
      </c>
      <c r="B338" s="160">
        <v>41181.019999999997</v>
      </c>
      <c r="C338" s="160">
        <v>42462.22</v>
      </c>
      <c r="D338" s="160">
        <v>42974.48</v>
      </c>
      <c r="E338" s="160">
        <v>37019.879999999997</v>
      </c>
      <c r="F338" s="160">
        <v>40411.839999999997</v>
      </c>
      <c r="G338" s="160">
        <v>52265.599999999999</v>
      </c>
      <c r="H338" s="160">
        <v>39497.43</v>
      </c>
      <c r="I338" s="160">
        <v>35985.18</v>
      </c>
      <c r="J338" s="160">
        <v>46840.19</v>
      </c>
      <c r="K338" s="160">
        <v>66305</v>
      </c>
      <c r="L338" s="160">
        <v>42424.54</v>
      </c>
      <c r="M338" s="160">
        <v>41346.58</v>
      </c>
      <c r="N338" s="160">
        <v>528713.96</v>
      </c>
    </row>
    <row r="339" spans="1:14" x14ac:dyDescent="0.25">
      <c r="A339" s="157" t="s">
        <v>163</v>
      </c>
      <c r="B339" s="160">
        <v>182.54</v>
      </c>
      <c r="C339" s="160">
        <v>220.54</v>
      </c>
      <c r="D339" s="160">
        <v>144.54</v>
      </c>
      <c r="E339" s="160">
        <v>182.54</v>
      </c>
      <c r="F339" s="160">
        <v>182.54</v>
      </c>
      <c r="G339" s="160">
        <v>144.54</v>
      </c>
      <c r="H339" s="160">
        <v>182.54</v>
      </c>
      <c r="I339" s="160">
        <v>0</v>
      </c>
      <c r="J339" s="160">
        <v>182.54</v>
      </c>
      <c r="K339" s="160">
        <v>144.54</v>
      </c>
      <c r="L339" s="160">
        <v>182.54</v>
      </c>
      <c r="M339" s="160">
        <v>240.54</v>
      </c>
      <c r="N339" s="160">
        <v>1989.94</v>
      </c>
    </row>
    <row r="340" spans="1:14" x14ac:dyDescent="0.25">
      <c r="A340" s="157" t="s">
        <v>164</v>
      </c>
      <c r="B340" s="160">
        <v>1167.5</v>
      </c>
      <c r="C340" s="160">
        <v>0</v>
      </c>
      <c r="D340" s="160">
        <v>1154</v>
      </c>
      <c r="E340" s="160">
        <v>-772.34</v>
      </c>
      <c r="F340" s="160">
        <v>-0.01</v>
      </c>
      <c r="G340" s="160">
        <v>0.3</v>
      </c>
      <c r="H340" s="160">
        <v>-0.65</v>
      </c>
      <c r="I340" s="160">
        <v>5958.95</v>
      </c>
      <c r="J340" s="160">
        <v>1974.71</v>
      </c>
      <c r="K340" s="160">
        <v>-2.59</v>
      </c>
      <c r="L340" s="160">
        <v>-0.04</v>
      </c>
      <c r="M340" s="160">
        <v>-1014.1</v>
      </c>
      <c r="N340" s="160">
        <v>8465.73</v>
      </c>
    </row>
    <row r="341" spans="1:14" x14ac:dyDescent="0.25">
      <c r="A341" s="157" t="s">
        <v>165</v>
      </c>
      <c r="B341" s="160">
        <v>12322.59</v>
      </c>
      <c r="C341" s="160">
        <v>7822.22</v>
      </c>
      <c r="D341" s="160">
        <v>5085.5200000000004</v>
      </c>
      <c r="E341" s="160">
        <v>3981.38</v>
      </c>
      <c r="F341" s="160">
        <v>-9089.67</v>
      </c>
      <c r="G341" s="160">
        <v>17946.509999999998</v>
      </c>
      <c r="H341" s="160">
        <v>5051.7</v>
      </c>
      <c r="I341" s="160">
        <v>5325.09</v>
      </c>
      <c r="J341" s="160">
        <v>14765.5</v>
      </c>
      <c r="K341" s="160">
        <v>8833.1299999999992</v>
      </c>
      <c r="L341" s="160">
        <v>5297.58</v>
      </c>
      <c r="M341" s="160">
        <v>7090.46</v>
      </c>
      <c r="N341" s="160">
        <v>84432.01</v>
      </c>
    </row>
    <row r="342" spans="1:14" x14ac:dyDescent="0.25">
      <c r="A342" s="157" t="s">
        <v>166</v>
      </c>
      <c r="B342" s="160">
        <v>0</v>
      </c>
      <c r="C342" s="160">
        <v>33.04</v>
      </c>
      <c r="D342" s="160">
        <v>0</v>
      </c>
      <c r="E342" s="160">
        <v>150</v>
      </c>
      <c r="F342" s="160">
        <v>46.89</v>
      </c>
      <c r="G342" s="160">
        <v>0</v>
      </c>
      <c r="H342" s="160">
        <v>1758.44</v>
      </c>
      <c r="I342" s="160">
        <v>0</v>
      </c>
      <c r="J342" s="160">
        <v>-1724.53</v>
      </c>
      <c r="K342" s="160">
        <v>50</v>
      </c>
      <c r="L342" s="160">
        <v>0</v>
      </c>
      <c r="M342" s="160">
        <v>0</v>
      </c>
      <c r="N342" s="160">
        <v>313.83999999999997</v>
      </c>
    </row>
    <row r="343" spans="1:14" x14ac:dyDescent="0.25">
      <c r="A343" s="157" t="s">
        <v>167</v>
      </c>
      <c r="B343" s="160">
        <v>49588.27</v>
      </c>
      <c r="C343" s="160">
        <v>23171.200000000001</v>
      </c>
      <c r="D343" s="160">
        <v>11601.43</v>
      </c>
      <c r="E343" s="160">
        <v>12539.75</v>
      </c>
      <c r="F343" s="160">
        <v>16892.52</v>
      </c>
      <c r="G343" s="160">
        <v>32161.41</v>
      </c>
      <c r="H343" s="160">
        <v>40380.410000000003</v>
      </c>
      <c r="I343" s="160">
        <v>42456</v>
      </c>
      <c r="J343" s="160">
        <v>14337.43</v>
      </c>
      <c r="K343" s="160">
        <v>15594.57</v>
      </c>
      <c r="L343" s="160">
        <v>19416.490000000002</v>
      </c>
      <c r="M343" s="160">
        <v>29120.04</v>
      </c>
      <c r="N343" s="160">
        <v>307259.52000000002</v>
      </c>
    </row>
    <row r="344" spans="1:14" x14ac:dyDescent="0.25">
      <c r="A344" s="157" t="s">
        <v>168</v>
      </c>
      <c r="B344" s="160">
        <v>-197.96</v>
      </c>
      <c r="C344" s="160">
        <v>1192.3900000000001</v>
      </c>
      <c r="D344" s="160">
        <v>26</v>
      </c>
      <c r="E344" s="160">
        <v>694.33</v>
      </c>
      <c r="F344" s="160">
        <v>301.43</v>
      </c>
      <c r="G344" s="160">
        <v>310</v>
      </c>
      <c r="H344" s="160">
        <v>1544.73</v>
      </c>
      <c r="I344" s="160">
        <v>743.45</v>
      </c>
      <c r="J344" s="160">
        <v>59</v>
      </c>
      <c r="K344" s="160">
        <v>1515.37</v>
      </c>
      <c r="L344" s="160">
        <v>136.09</v>
      </c>
      <c r="M344" s="160">
        <v>500.94</v>
      </c>
      <c r="N344" s="160">
        <v>6825.77</v>
      </c>
    </row>
    <row r="345" spans="1:14" x14ac:dyDescent="0.25">
      <c r="A345" s="157" t="s">
        <v>337</v>
      </c>
      <c r="B345" s="160">
        <v>11219.87</v>
      </c>
      <c r="C345" s="160">
        <v>8464.4500000000007</v>
      </c>
      <c r="D345" s="160">
        <v>8430.24</v>
      </c>
      <c r="E345" s="160">
        <v>6203.97</v>
      </c>
      <c r="F345" s="160">
        <v>740.06</v>
      </c>
      <c r="G345" s="160">
        <v>11209.93</v>
      </c>
      <c r="H345" s="160">
        <v>4299</v>
      </c>
      <c r="I345" s="160">
        <v>4998.1000000000004</v>
      </c>
      <c r="J345" s="160">
        <v>4151.8900000000003</v>
      </c>
      <c r="K345" s="160">
        <v>4136.32</v>
      </c>
      <c r="L345" s="160">
        <v>6624.68</v>
      </c>
      <c r="M345" s="160">
        <v>2620.31</v>
      </c>
      <c r="N345" s="160">
        <v>73098.820000000007</v>
      </c>
    </row>
    <row r="346" spans="1:14" x14ac:dyDescent="0.25">
      <c r="A346" s="157" t="s">
        <v>169</v>
      </c>
      <c r="B346" s="160">
        <v>-41025.33</v>
      </c>
      <c r="C346" s="160">
        <v>0</v>
      </c>
      <c r="D346" s="160">
        <v>0</v>
      </c>
      <c r="E346" s="160">
        <v>0</v>
      </c>
      <c r="F346" s="160">
        <v>0</v>
      </c>
      <c r="G346" s="160">
        <v>0</v>
      </c>
      <c r="H346" s="160">
        <v>0</v>
      </c>
      <c r="I346" s="160">
        <v>0</v>
      </c>
      <c r="J346" s="160">
        <v>0</v>
      </c>
      <c r="K346" s="160">
        <v>0</v>
      </c>
      <c r="L346" s="160">
        <v>0</v>
      </c>
      <c r="M346" s="160">
        <v>0</v>
      </c>
      <c r="N346" s="160">
        <v>-41025.33</v>
      </c>
    </row>
    <row r="347" spans="1:14" x14ac:dyDescent="0.25">
      <c r="A347" s="157" t="s">
        <v>170</v>
      </c>
      <c r="B347" s="166">
        <v>4214.12</v>
      </c>
      <c r="C347" s="166">
        <v>4194.93</v>
      </c>
      <c r="D347" s="166">
        <v>0</v>
      </c>
      <c r="E347" s="166">
        <v>2155.62</v>
      </c>
      <c r="F347" s="166">
        <v>0</v>
      </c>
      <c r="G347" s="166">
        <v>4583.3900000000003</v>
      </c>
      <c r="H347" s="166">
        <v>598.37</v>
      </c>
      <c r="I347" s="166">
        <v>4274.74</v>
      </c>
      <c r="J347" s="166">
        <v>549.20000000000005</v>
      </c>
      <c r="K347" s="166">
        <v>4028.22</v>
      </c>
      <c r="L347" s="166">
        <v>1627.11</v>
      </c>
      <c r="M347" s="166">
        <v>0</v>
      </c>
      <c r="N347" s="166">
        <v>26225.7</v>
      </c>
    </row>
    <row r="348" spans="1:14" x14ac:dyDescent="0.25">
      <c r="A348" s="157" t="s">
        <v>338</v>
      </c>
      <c r="B348" s="160">
        <f t="shared" ref="B348:N348" si="30">SUM(B299:B347)</f>
        <v>1284423.9200000006</v>
      </c>
      <c r="C348" s="160">
        <f t="shared" si="30"/>
        <v>2223804.5300000012</v>
      </c>
      <c r="D348" s="160">
        <f t="shared" si="30"/>
        <v>2130592.7400000002</v>
      </c>
      <c r="E348" s="160">
        <f t="shared" si="30"/>
        <v>2114318.98</v>
      </c>
      <c r="F348" s="160">
        <f t="shared" si="30"/>
        <v>2266679.9300000002</v>
      </c>
      <c r="G348" s="160">
        <f t="shared" si="30"/>
        <v>2336574.1900000004</v>
      </c>
      <c r="H348" s="160">
        <f t="shared" si="30"/>
        <v>2385820.6600000011</v>
      </c>
      <c r="I348" s="160">
        <f t="shared" si="30"/>
        <v>2191181.7300000009</v>
      </c>
      <c r="J348" s="160">
        <f t="shared" si="30"/>
        <v>2100087.0999999996</v>
      </c>
      <c r="K348" s="160">
        <f t="shared" si="30"/>
        <v>2325625.5899999994</v>
      </c>
      <c r="L348" s="160">
        <f t="shared" si="30"/>
        <v>2313078.0500000007</v>
      </c>
      <c r="M348" s="160">
        <f t="shared" si="30"/>
        <v>2621619.9099999997</v>
      </c>
      <c r="N348" s="160">
        <f t="shared" si="30"/>
        <v>26293807.330000013</v>
      </c>
    </row>
    <row r="349" spans="1:14" x14ac:dyDescent="0.25">
      <c r="A349" s="157"/>
      <c r="B349" s="161"/>
      <c r="C349" s="161"/>
      <c r="D349" s="161"/>
      <c r="E349" s="161"/>
      <c r="F349" s="161"/>
      <c r="G349" s="161"/>
      <c r="H349" s="161"/>
      <c r="I349" s="161"/>
      <c r="J349" s="161"/>
      <c r="K349" s="161"/>
      <c r="L349" s="161"/>
      <c r="M349" s="161"/>
      <c r="N349" s="161"/>
    </row>
    <row r="350" spans="1:14" ht="10.5" customHeight="1" x14ac:dyDescent="0.25">
      <c r="A350" s="157" t="s">
        <v>467</v>
      </c>
      <c r="B350" s="160">
        <v>35910217.789999999</v>
      </c>
      <c r="C350" s="160">
        <v>678739.18</v>
      </c>
      <c r="D350" s="160">
        <v>620669.81000000006</v>
      </c>
      <c r="E350" s="160">
        <v>636552.4</v>
      </c>
      <c r="F350" s="160">
        <v>692712.89</v>
      </c>
      <c r="G350" s="160">
        <v>686248.59</v>
      </c>
      <c r="H350" s="160">
        <v>678497.31</v>
      </c>
      <c r="I350" s="160">
        <v>721386.53</v>
      </c>
      <c r="J350" s="160">
        <v>715820.92</v>
      </c>
      <c r="K350" s="160">
        <v>737980.45</v>
      </c>
      <c r="L350" s="160">
        <v>746082.38</v>
      </c>
      <c r="M350" s="160">
        <v>725601.02</v>
      </c>
      <c r="N350" s="160">
        <v>43550509.270000003</v>
      </c>
    </row>
    <row r="351" spans="1:14" ht="10.5" customHeight="1" x14ac:dyDescent="0.25">
      <c r="A351" s="157" t="s">
        <v>339</v>
      </c>
      <c r="B351" s="160">
        <f t="shared" ref="B351:N351" si="31">SUM(B350:B350)</f>
        <v>35910217.789999999</v>
      </c>
      <c r="C351" s="160">
        <f t="shared" si="31"/>
        <v>678739.18</v>
      </c>
      <c r="D351" s="160">
        <f t="shared" si="31"/>
        <v>620669.81000000006</v>
      </c>
      <c r="E351" s="160">
        <f t="shared" si="31"/>
        <v>636552.4</v>
      </c>
      <c r="F351" s="160">
        <f t="shared" si="31"/>
        <v>692712.89</v>
      </c>
      <c r="G351" s="160">
        <f t="shared" si="31"/>
        <v>686248.59</v>
      </c>
      <c r="H351" s="160">
        <f t="shared" si="31"/>
        <v>678497.31</v>
      </c>
      <c r="I351" s="160">
        <f t="shared" si="31"/>
        <v>721386.53</v>
      </c>
      <c r="J351" s="160">
        <f t="shared" si="31"/>
        <v>715820.92</v>
      </c>
      <c r="K351" s="160">
        <f t="shared" si="31"/>
        <v>737980.45</v>
      </c>
      <c r="L351" s="160">
        <f t="shared" si="31"/>
        <v>746082.38</v>
      </c>
      <c r="M351" s="160">
        <f t="shared" si="31"/>
        <v>725601.02</v>
      </c>
      <c r="N351" s="160">
        <f t="shared" si="31"/>
        <v>43550509.270000003</v>
      </c>
    </row>
    <row r="352" spans="1:14" x14ac:dyDescent="0.25">
      <c r="A352" s="157" t="s">
        <v>171</v>
      </c>
      <c r="B352" s="176">
        <v>1.3894323490148</v>
      </c>
      <c r="C352" s="176">
        <v>2.5736434620100002E-2</v>
      </c>
      <c r="D352" s="176">
        <v>2.5706514955399998E-2</v>
      </c>
      <c r="E352" s="176">
        <v>2.4685709608000001E-2</v>
      </c>
      <c r="F352" s="176">
        <v>2.7385444028699999E-2</v>
      </c>
      <c r="G352" s="176">
        <v>2.7814322021599999E-2</v>
      </c>
      <c r="H352" s="176">
        <v>2.88927812656E-2</v>
      </c>
      <c r="I352" s="176">
        <v>2.97871001915E-2</v>
      </c>
      <c r="J352" s="176">
        <v>2.89001761221E-2</v>
      </c>
      <c r="K352" s="176">
        <v>3.10067941387E-2</v>
      </c>
      <c r="L352" s="176">
        <v>2.9671626845799999E-2</v>
      </c>
      <c r="M352" s="176">
        <v>2.7531690661600002E-2</v>
      </c>
      <c r="N352" s="176">
        <v>0.14522327894949999</v>
      </c>
    </row>
    <row r="353" spans="1:16" x14ac:dyDescent="0.25">
      <c r="A353" s="157"/>
      <c r="B353" s="161"/>
      <c r="C353" s="161"/>
      <c r="D353" s="161"/>
      <c r="E353" s="161"/>
      <c r="F353" s="161"/>
      <c r="G353" s="161"/>
      <c r="H353" s="161"/>
      <c r="I353" s="161"/>
      <c r="J353" s="161"/>
      <c r="K353" s="161"/>
      <c r="L353" s="161"/>
      <c r="M353" s="161"/>
      <c r="N353" s="161"/>
    </row>
    <row r="354" spans="1:16" hidden="1" x14ac:dyDescent="0.25">
      <c r="A354" s="157" t="s">
        <v>468</v>
      </c>
      <c r="B354" s="160">
        <v>1290831</v>
      </c>
      <c r="C354" s="160">
        <v>1316938</v>
      </c>
      <c r="D354" s="160">
        <v>1211395</v>
      </c>
      <c r="E354" s="160">
        <v>1285916</v>
      </c>
      <c r="F354" s="160">
        <v>1262380</v>
      </c>
      <c r="G354" s="160">
        <v>1242825</v>
      </c>
      <c r="H354" s="160">
        <v>1175429</v>
      </c>
      <c r="I354" s="160">
        <v>1204419</v>
      </c>
      <c r="J354" s="160">
        <v>1252633</v>
      </c>
      <c r="K354" s="160">
        <v>1174221</v>
      </c>
      <c r="L354" s="160">
        <v>1279148</v>
      </c>
      <c r="M354" s="160">
        <v>1310616.99</v>
      </c>
      <c r="N354" s="160">
        <v>15006751.99</v>
      </c>
    </row>
    <row r="355" spans="1:16" x14ac:dyDescent="0.25">
      <c r="A355" s="157" t="s">
        <v>172</v>
      </c>
      <c r="B355" s="160">
        <f t="shared" ref="B355:N355" si="32">B354</f>
        <v>1290831</v>
      </c>
      <c r="C355" s="160">
        <f t="shared" si="32"/>
        <v>1316938</v>
      </c>
      <c r="D355" s="160">
        <f t="shared" si="32"/>
        <v>1211395</v>
      </c>
      <c r="E355" s="160">
        <f t="shared" si="32"/>
        <v>1285916</v>
      </c>
      <c r="F355" s="160">
        <f t="shared" si="32"/>
        <v>1262380</v>
      </c>
      <c r="G355" s="160">
        <f t="shared" si="32"/>
        <v>1242825</v>
      </c>
      <c r="H355" s="160">
        <f t="shared" si="32"/>
        <v>1175429</v>
      </c>
      <c r="I355" s="160">
        <f t="shared" si="32"/>
        <v>1204419</v>
      </c>
      <c r="J355" s="160">
        <f t="shared" si="32"/>
        <v>1252633</v>
      </c>
      <c r="K355" s="160">
        <f t="shared" si="32"/>
        <v>1174221</v>
      </c>
      <c r="L355" s="160">
        <f t="shared" si="32"/>
        <v>1279148</v>
      </c>
      <c r="M355" s="160">
        <f t="shared" si="32"/>
        <v>1310616.99</v>
      </c>
      <c r="N355" s="160">
        <f t="shared" si="32"/>
        <v>15006751.99</v>
      </c>
    </row>
    <row r="356" spans="1:16" x14ac:dyDescent="0.25">
      <c r="A356" s="157"/>
      <c r="B356" s="161"/>
      <c r="C356" s="161"/>
      <c r="D356" s="161"/>
      <c r="E356" s="161"/>
      <c r="F356" s="161"/>
      <c r="G356" s="161"/>
      <c r="H356" s="161"/>
      <c r="I356" s="161"/>
      <c r="J356" s="161"/>
      <c r="K356" s="161"/>
      <c r="L356" s="161"/>
      <c r="M356" s="161"/>
      <c r="N356" s="161"/>
    </row>
    <row r="357" spans="1:16" ht="45" hidden="1" x14ac:dyDescent="0.25">
      <c r="A357" s="157" t="s">
        <v>469</v>
      </c>
      <c r="B357" s="160">
        <v>-27606.52</v>
      </c>
      <c r="C357" s="160">
        <v>70192.14</v>
      </c>
      <c r="D357" s="160">
        <v>65478.879999999997</v>
      </c>
      <c r="E357" s="160">
        <v>96386.45</v>
      </c>
      <c r="F357" s="160">
        <v>81087.009999999995</v>
      </c>
      <c r="G357" s="160">
        <v>95123.63</v>
      </c>
      <c r="H357" s="160">
        <v>122710.92</v>
      </c>
      <c r="I357" s="160">
        <v>83353.3</v>
      </c>
      <c r="J357" s="160">
        <v>21377.55</v>
      </c>
      <c r="K357" s="160">
        <v>9886.7999999999993</v>
      </c>
      <c r="L357" s="160">
        <v>57293.88</v>
      </c>
      <c r="M357" s="160">
        <v>56461.57</v>
      </c>
      <c r="N357" s="160">
        <v>731745.61</v>
      </c>
    </row>
    <row r="358" spans="1:16" ht="30" hidden="1" x14ac:dyDescent="0.25">
      <c r="A358" s="157" t="s">
        <v>470</v>
      </c>
      <c r="B358" s="160">
        <v>36252.51</v>
      </c>
      <c r="C358" s="160">
        <v>36252.51</v>
      </c>
      <c r="D358" s="160">
        <v>36252.51</v>
      </c>
      <c r="E358" s="160">
        <v>36252.519999999997</v>
      </c>
      <c r="F358" s="160">
        <v>36252.519999999997</v>
      </c>
      <c r="G358" s="160">
        <v>36252.519999999997</v>
      </c>
      <c r="H358" s="160">
        <v>31177.279999999999</v>
      </c>
      <c r="I358" s="160">
        <v>33714.9</v>
      </c>
      <c r="J358" s="160">
        <v>33714.9</v>
      </c>
      <c r="K358" s="160">
        <v>31089.75</v>
      </c>
      <c r="L358" s="160">
        <v>31089.75</v>
      </c>
      <c r="M358" s="160">
        <v>35101.32</v>
      </c>
      <c r="N358" s="160">
        <v>413402.99</v>
      </c>
    </row>
    <row r="359" spans="1:16" ht="30" x14ac:dyDescent="0.25">
      <c r="A359" s="157" t="s">
        <v>340</v>
      </c>
      <c r="B359" s="160">
        <f t="shared" ref="B359:N359" si="33">SUM(B357:B358)</f>
        <v>8645.9900000000016</v>
      </c>
      <c r="C359" s="160">
        <f t="shared" si="33"/>
        <v>106444.65</v>
      </c>
      <c r="D359" s="160">
        <f t="shared" si="33"/>
        <v>101731.39</v>
      </c>
      <c r="E359" s="160">
        <f t="shared" si="33"/>
        <v>132638.97</v>
      </c>
      <c r="F359" s="160">
        <f t="shared" si="33"/>
        <v>117339.53</v>
      </c>
      <c r="G359" s="160">
        <f t="shared" si="33"/>
        <v>131376.15</v>
      </c>
      <c r="H359" s="160">
        <f t="shared" si="33"/>
        <v>153888.20000000001</v>
      </c>
      <c r="I359" s="160">
        <f t="shared" si="33"/>
        <v>117068.20000000001</v>
      </c>
      <c r="J359" s="160">
        <f t="shared" si="33"/>
        <v>55092.45</v>
      </c>
      <c r="K359" s="160">
        <f t="shared" si="33"/>
        <v>40976.550000000003</v>
      </c>
      <c r="L359" s="160">
        <f t="shared" si="33"/>
        <v>88383.63</v>
      </c>
      <c r="M359" s="160">
        <f t="shared" si="33"/>
        <v>91562.89</v>
      </c>
      <c r="N359" s="160">
        <f t="shared" si="33"/>
        <v>1145148.6000000001</v>
      </c>
    </row>
    <row r="360" spans="1:16" x14ac:dyDescent="0.25">
      <c r="A360" s="157" t="s">
        <v>173</v>
      </c>
      <c r="B360" s="160">
        <v>84.44</v>
      </c>
      <c r="C360" s="160">
        <v>32.1</v>
      </c>
      <c r="D360" s="160">
        <v>58.33</v>
      </c>
      <c r="E360" s="160">
        <v>165.23</v>
      </c>
      <c r="F360" s="160">
        <v>15.99</v>
      </c>
      <c r="G360" s="160">
        <v>45.85</v>
      </c>
      <c r="H360" s="160">
        <v>46.55</v>
      </c>
      <c r="I360" s="160">
        <v>72.55</v>
      </c>
      <c r="J360" s="160">
        <v>71.45</v>
      </c>
      <c r="K360" s="160">
        <v>42.22</v>
      </c>
      <c r="L360" s="160">
        <v>0</v>
      </c>
      <c r="M360" s="160">
        <v>0</v>
      </c>
      <c r="N360" s="160">
        <v>634.71</v>
      </c>
    </row>
    <row r="361" spans="1:16" x14ac:dyDescent="0.25">
      <c r="A361" s="157" t="s">
        <v>341</v>
      </c>
      <c r="B361" s="160">
        <v>5658.67</v>
      </c>
      <c r="C361" s="160">
        <v>8710.89</v>
      </c>
      <c r="D361" s="160">
        <v>13714.75</v>
      </c>
      <c r="E361" s="160">
        <v>5217.1099999999997</v>
      </c>
      <c r="F361" s="160">
        <v>6995.45</v>
      </c>
      <c r="G361" s="160">
        <v>8771.66</v>
      </c>
      <c r="H361" s="160">
        <v>10028.16</v>
      </c>
      <c r="I361" s="160">
        <v>7824.77</v>
      </c>
      <c r="J361" s="160">
        <v>10675.79</v>
      </c>
      <c r="K361" s="160">
        <v>14366.46</v>
      </c>
      <c r="L361" s="160">
        <v>14368.27</v>
      </c>
      <c r="M361" s="160">
        <v>-12948.76</v>
      </c>
      <c r="N361" s="160">
        <v>93383.22</v>
      </c>
    </row>
    <row r="362" spans="1:16" x14ac:dyDescent="0.25">
      <c r="A362" s="157" t="s">
        <v>342</v>
      </c>
      <c r="B362" s="160">
        <v>83558.16</v>
      </c>
      <c r="C362" s="160">
        <v>2023.33</v>
      </c>
      <c r="D362" s="160">
        <v>2028.16</v>
      </c>
      <c r="E362" s="160">
        <v>3510.61</v>
      </c>
      <c r="F362" s="160">
        <v>2615.62</v>
      </c>
      <c r="G362" s="160">
        <v>5150.66</v>
      </c>
      <c r="H362" s="160">
        <v>1743.39</v>
      </c>
      <c r="I362" s="160">
        <v>1351.51</v>
      </c>
      <c r="J362" s="160">
        <v>979.32</v>
      </c>
      <c r="K362" s="160">
        <v>2150.39</v>
      </c>
      <c r="L362" s="160">
        <v>2559.13</v>
      </c>
      <c r="M362" s="160">
        <v>3864.63</v>
      </c>
      <c r="N362" s="160">
        <v>111534.91</v>
      </c>
    </row>
    <row r="363" spans="1:16" x14ac:dyDescent="0.25">
      <c r="A363" s="157" t="s">
        <v>174</v>
      </c>
      <c r="B363" s="166">
        <v>2762.35</v>
      </c>
      <c r="C363" s="166">
        <v>1212.9000000000001</v>
      </c>
      <c r="D363" s="166">
        <v>686.76</v>
      </c>
      <c r="E363" s="166">
        <v>1515.5</v>
      </c>
      <c r="F363" s="166">
        <v>769.52</v>
      </c>
      <c r="G363" s="166">
        <v>543.9</v>
      </c>
      <c r="H363" s="166">
        <v>328.33</v>
      </c>
      <c r="I363" s="166">
        <v>313.63</v>
      </c>
      <c r="J363" s="166">
        <v>112.85</v>
      </c>
      <c r="K363" s="166">
        <v>340.27</v>
      </c>
      <c r="L363" s="166">
        <v>363</v>
      </c>
      <c r="M363" s="166">
        <v>21080.99</v>
      </c>
      <c r="N363" s="166">
        <v>30030</v>
      </c>
    </row>
    <row r="364" spans="1:16" ht="30" x14ac:dyDescent="0.25">
      <c r="A364" s="157" t="s">
        <v>175</v>
      </c>
      <c r="B364" s="160">
        <f t="shared" ref="B364:N364" si="34">SUM(B357:B363)-B359</f>
        <v>100709.61</v>
      </c>
      <c r="C364" s="160">
        <f t="shared" si="34"/>
        <v>118423.86999999997</v>
      </c>
      <c r="D364" s="160">
        <f t="shared" si="34"/>
        <v>118219.39</v>
      </c>
      <c r="E364" s="160">
        <f t="shared" si="34"/>
        <v>143047.41999999995</v>
      </c>
      <c r="F364" s="160">
        <f t="shared" si="34"/>
        <v>127736.10999999999</v>
      </c>
      <c r="G364" s="160">
        <f t="shared" si="34"/>
        <v>145888.21999999994</v>
      </c>
      <c r="H364" s="160">
        <f t="shared" si="34"/>
        <v>166034.63</v>
      </c>
      <c r="I364" s="160">
        <f t="shared" si="34"/>
        <v>126630.66</v>
      </c>
      <c r="J364" s="160">
        <f t="shared" si="34"/>
        <v>66931.86</v>
      </c>
      <c r="K364" s="160">
        <f t="shared" si="34"/>
        <v>57875.89</v>
      </c>
      <c r="L364" s="160">
        <f t="shared" si="34"/>
        <v>105674.03</v>
      </c>
      <c r="M364" s="160">
        <f t="shared" si="34"/>
        <v>103559.74999999999</v>
      </c>
      <c r="N364" s="160">
        <f t="shared" si="34"/>
        <v>1380731.4400000004</v>
      </c>
    </row>
    <row r="365" spans="1:16" x14ac:dyDescent="0.25">
      <c r="A365" s="157"/>
      <c r="B365" s="175"/>
      <c r="C365" s="175"/>
      <c r="D365" s="175"/>
      <c r="E365" s="175"/>
      <c r="F365" s="175"/>
      <c r="G365" s="175"/>
      <c r="H365" s="175"/>
      <c r="I365" s="175"/>
      <c r="J365" s="175"/>
      <c r="K365" s="175"/>
      <c r="L365" s="175"/>
      <c r="M365" s="175"/>
      <c r="N365" s="175"/>
    </row>
    <row r="366" spans="1:16" x14ac:dyDescent="0.25">
      <c r="A366" s="157" t="s">
        <v>343</v>
      </c>
      <c r="B366" s="160">
        <f t="shared" ref="B366:N366" si="35">SUM(B132:B365)-B164-B169-B190-B223-B237-B257-B270-B297-B348-B351-B355-B359-B364-B352</f>
        <v>55580546.980000012</v>
      </c>
      <c r="C366" s="160">
        <f t="shared" si="35"/>
        <v>22257090.409999996</v>
      </c>
      <c r="D366" s="160">
        <f t="shared" si="35"/>
        <v>20409799.000000019</v>
      </c>
      <c r="E366" s="160">
        <f t="shared" si="35"/>
        <v>21504085</v>
      </c>
      <c r="F366" s="160">
        <f t="shared" si="35"/>
        <v>20929120.970000003</v>
      </c>
      <c r="G366" s="160">
        <f t="shared" si="35"/>
        <v>21676307.079999998</v>
      </c>
      <c r="H366" s="160">
        <f t="shared" si="35"/>
        <v>20864736.330000032</v>
      </c>
      <c r="I366" s="160">
        <f t="shared" si="35"/>
        <v>20836708.790000029</v>
      </c>
      <c r="J366" s="160">
        <f t="shared" si="35"/>
        <v>20820833.220000025</v>
      </c>
      <c r="K366" s="160">
        <f t="shared" si="35"/>
        <v>20467114.519999981</v>
      </c>
      <c r="L366" s="160">
        <f t="shared" si="35"/>
        <v>21253293.479999989</v>
      </c>
      <c r="M366" s="160">
        <f t="shared" si="35"/>
        <v>21413391.180000041</v>
      </c>
      <c r="N366" s="160">
        <f t="shared" si="35"/>
        <v>288013026.95999998</v>
      </c>
    </row>
    <row r="367" spans="1:16" x14ac:dyDescent="0.25">
      <c r="A367" s="157"/>
      <c r="B367" s="161"/>
      <c r="C367" s="161"/>
      <c r="D367" s="161"/>
      <c r="E367" s="161"/>
      <c r="F367" s="161"/>
      <c r="G367" s="161"/>
      <c r="H367" s="161"/>
      <c r="I367" s="161"/>
      <c r="J367" s="161"/>
      <c r="K367" s="161"/>
      <c r="L367" s="161"/>
      <c r="M367" s="161"/>
      <c r="N367" s="161"/>
    </row>
    <row r="368" spans="1:16" x14ac:dyDescent="0.25">
      <c r="A368" s="157" t="s">
        <v>11</v>
      </c>
      <c r="B368" s="160">
        <v>-29735303.190000001</v>
      </c>
      <c r="C368" s="160">
        <v>4115606.12</v>
      </c>
      <c r="D368" s="160">
        <v>3734656.64</v>
      </c>
      <c r="E368" s="160">
        <v>4282186.09</v>
      </c>
      <c r="F368" s="160">
        <v>4365809.04</v>
      </c>
      <c r="G368" s="160">
        <v>2996183.21</v>
      </c>
      <c r="H368" s="160">
        <v>2618544.9700000002</v>
      </c>
      <c r="I368" s="160">
        <v>3381376.4</v>
      </c>
      <c r="J368" s="160">
        <v>3947905.8</v>
      </c>
      <c r="K368" s="160">
        <v>3333490.17</v>
      </c>
      <c r="L368" s="160">
        <v>3891346.68</v>
      </c>
      <c r="M368" s="160">
        <v>4941729.1399999997</v>
      </c>
      <c r="N368" s="160">
        <v>11873531.07</v>
      </c>
      <c r="P368" s="177">
        <f>M366+M377-M355</f>
        <v>20144354.550000042</v>
      </c>
    </row>
    <row r="369" spans="1:14" x14ac:dyDescent="0.25">
      <c r="A369" s="157"/>
      <c r="B369" s="161"/>
      <c r="C369" s="161"/>
      <c r="D369" s="161"/>
      <c r="E369" s="161"/>
      <c r="F369" s="161"/>
      <c r="G369" s="161"/>
      <c r="H369" s="161"/>
      <c r="I369" s="161"/>
      <c r="J369" s="161"/>
      <c r="K369" s="161"/>
      <c r="L369" s="161"/>
      <c r="M369" s="161"/>
      <c r="N369" s="161"/>
    </row>
    <row r="370" spans="1:14" x14ac:dyDescent="0.25">
      <c r="A370" s="157" t="s">
        <v>176</v>
      </c>
      <c r="B370" s="162">
        <v>-1.1505135502535</v>
      </c>
      <c r="C370" s="162">
        <v>0.15605556736750001</v>
      </c>
      <c r="D370" s="162">
        <v>0.15467967866759999</v>
      </c>
      <c r="E370" s="162">
        <v>0.16606457269659999</v>
      </c>
      <c r="F370" s="162">
        <v>0.1725962095279</v>
      </c>
      <c r="G370" s="162">
        <v>0.12143821619880001</v>
      </c>
      <c r="H370" s="162">
        <v>0.11150677524780001</v>
      </c>
      <c r="I370" s="162">
        <v>0.13962195497589999</v>
      </c>
      <c r="J370" s="162">
        <v>0.15939066566179999</v>
      </c>
      <c r="K370" s="162">
        <v>0.1400590536845</v>
      </c>
      <c r="L370" s="162">
        <v>0.1547584954582</v>
      </c>
      <c r="M370" s="162">
        <v>0.18750546686940001</v>
      </c>
      <c r="N370" s="162">
        <v>3.9593408747599999E-2</v>
      </c>
    </row>
    <row r="371" spans="1:14" x14ac:dyDescent="0.25">
      <c r="A371" s="157"/>
      <c r="B371" s="161"/>
      <c r="C371" s="161"/>
      <c r="D371" s="161"/>
      <c r="E371" s="161"/>
      <c r="F371" s="161"/>
      <c r="G371" s="161"/>
      <c r="H371" s="161"/>
      <c r="I371" s="161"/>
      <c r="J371" s="161"/>
      <c r="K371" s="161"/>
      <c r="L371" s="161"/>
      <c r="M371" s="161"/>
      <c r="N371" s="161"/>
    </row>
    <row r="372" spans="1:14" x14ac:dyDescent="0.25">
      <c r="A372" s="157" t="s">
        <v>177</v>
      </c>
      <c r="B372" s="160">
        <v>4776922.03</v>
      </c>
      <c r="C372" s="160">
        <v>4802834.8899999997</v>
      </c>
      <c r="D372" s="160">
        <v>4836438.53</v>
      </c>
      <c r="E372" s="160">
        <v>4838587.8499999996</v>
      </c>
      <c r="F372" s="160">
        <v>4838837.8499999996</v>
      </c>
      <c r="G372" s="160">
        <v>4838587.8499999996</v>
      </c>
      <c r="H372" s="160">
        <v>4838587.8499999996</v>
      </c>
      <c r="I372" s="160">
        <v>4848503.49</v>
      </c>
      <c r="J372" s="160">
        <v>4848503.49</v>
      </c>
      <c r="K372" s="160">
        <v>4878197.4000000004</v>
      </c>
      <c r="L372" s="160">
        <v>4878532.9000000004</v>
      </c>
      <c r="M372" s="160">
        <v>4881366.88</v>
      </c>
      <c r="N372" s="160">
        <v>58105901.009999998</v>
      </c>
    </row>
    <row r="373" spans="1:14" x14ac:dyDescent="0.25">
      <c r="A373" s="157" t="s">
        <v>178</v>
      </c>
      <c r="B373" s="178">
        <v>-6.2247830304234997</v>
      </c>
      <c r="C373" s="178">
        <v>0.85691184774420004</v>
      </c>
      <c r="D373" s="178">
        <v>0.77219148281000005</v>
      </c>
      <c r="E373" s="178">
        <v>0.88500740768819997</v>
      </c>
      <c r="F373" s="178">
        <v>0.90224330207720005</v>
      </c>
      <c r="G373" s="178">
        <v>0.61922678741899995</v>
      </c>
      <c r="H373" s="178">
        <v>0.5411795861059</v>
      </c>
      <c r="I373" s="178">
        <v>0.69740620110389995</v>
      </c>
      <c r="J373" s="178">
        <v>0.81425244060199997</v>
      </c>
      <c r="K373" s="178">
        <v>0.68334466538810001</v>
      </c>
      <c r="L373" s="178">
        <v>0.79764690733150001</v>
      </c>
      <c r="M373" s="178">
        <v>1.0123658519189001</v>
      </c>
      <c r="N373" s="178">
        <v>0.204342947336</v>
      </c>
    </row>
    <row r="374" spans="1:14" x14ac:dyDescent="0.25">
      <c r="A374" s="157"/>
      <c r="B374" s="161"/>
      <c r="C374" s="161"/>
      <c r="D374" s="161"/>
      <c r="E374" s="161"/>
      <c r="F374" s="161"/>
      <c r="G374" s="161"/>
      <c r="H374" s="161"/>
      <c r="I374" s="161"/>
      <c r="J374" s="161"/>
      <c r="K374" s="161"/>
      <c r="L374" s="161"/>
      <c r="M374" s="161"/>
      <c r="N374" s="161"/>
    </row>
    <row r="375" spans="1:14" x14ac:dyDescent="0.25">
      <c r="A375" s="157" t="s">
        <v>179</v>
      </c>
      <c r="B375" s="160">
        <v>-34512225.219999999</v>
      </c>
      <c r="C375" s="160">
        <v>-687228.77</v>
      </c>
      <c r="D375" s="160">
        <v>-1101781.8899999999</v>
      </c>
      <c r="E375" s="160">
        <v>-556401.76</v>
      </c>
      <c r="F375" s="160">
        <v>-473028.81</v>
      </c>
      <c r="G375" s="160">
        <v>-1842404.64</v>
      </c>
      <c r="H375" s="160">
        <v>-2220042.88</v>
      </c>
      <c r="I375" s="160">
        <v>-1467127.09</v>
      </c>
      <c r="J375" s="160">
        <v>-900597.69</v>
      </c>
      <c r="K375" s="160">
        <v>-1544707.23</v>
      </c>
      <c r="L375" s="160">
        <v>-987186.22</v>
      </c>
      <c r="M375" s="160">
        <v>60362.26</v>
      </c>
      <c r="N375" s="160">
        <v>-46232369.939999998</v>
      </c>
    </row>
    <row r="376" spans="1:14" x14ac:dyDescent="0.25">
      <c r="A376" s="157"/>
      <c r="B376" s="161"/>
      <c r="C376" s="161"/>
      <c r="D376" s="161"/>
      <c r="E376" s="161"/>
      <c r="F376" s="161"/>
      <c r="G376" s="161"/>
      <c r="H376" s="161"/>
      <c r="I376" s="161"/>
      <c r="J376" s="161"/>
      <c r="K376" s="161"/>
      <c r="L376" s="161"/>
      <c r="M376" s="161"/>
      <c r="N376" s="161"/>
    </row>
    <row r="377" spans="1:14" x14ac:dyDescent="0.25">
      <c r="A377" s="157" t="s">
        <v>180</v>
      </c>
      <c r="B377" s="160">
        <v>43952.75</v>
      </c>
      <c r="C377" s="160">
        <v>37678.99</v>
      </c>
      <c r="D377" s="160">
        <v>34226.339999999997</v>
      </c>
      <c r="E377" s="160">
        <v>37807.800000000003</v>
      </c>
      <c r="F377" s="160">
        <v>36596.58</v>
      </c>
      <c r="G377" s="160">
        <v>37912.339999999997</v>
      </c>
      <c r="H377" s="160">
        <v>36596.58</v>
      </c>
      <c r="I377" s="160">
        <v>37824.92</v>
      </c>
      <c r="J377" s="160">
        <v>37915.519999999997</v>
      </c>
      <c r="K377" s="160">
        <v>36430.83</v>
      </c>
      <c r="L377" s="160">
        <v>37935.78</v>
      </c>
      <c r="M377" s="160">
        <v>41580.36</v>
      </c>
      <c r="N377" s="160">
        <v>456458.79</v>
      </c>
    </row>
    <row r="378" spans="1:14" x14ac:dyDescent="0.25">
      <c r="A378" s="157" t="s">
        <v>181</v>
      </c>
      <c r="B378" s="160">
        <v>1185.6300000000001</v>
      </c>
      <c r="C378" s="160">
        <v>539.38</v>
      </c>
      <c r="D378" s="160">
        <v>513.77</v>
      </c>
      <c r="E378" s="160">
        <v>488.06</v>
      </c>
      <c r="F378" s="160">
        <v>462.23</v>
      </c>
      <c r="G378" s="160">
        <v>436.27</v>
      </c>
      <c r="H378" s="160">
        <v>410.22</v>
      </c>
      <c r="I378" s="160">
        <v>387.22</v>
      </c>
      <c r="J378" s="160">
        <v>364.1</v>
      </c>
      <c r="K378" s="160">
        <v>344.15</v>
      </c>
      <c r="L378" s="160">
        <v>13337.18</v>
      </c>
      <c r="M378" s="160">
        <v>2907.57</v>
      </c>
      <c r="N378" s="160">
        <v>21375.78</v>
      </c>
    </row>
    <row r="379" spans="1:14" x14ac:dyDescent="0.25">
      <c r="A379" s="157" t="s">
        <v>182</v>
      </c>
      <c r="B379" s="160">
        <v>89737.69</v>
      </c>
      <c r="C379" s="160">
        <v>76337.570000000007</v>
      </c>
      <c r="D379" s="160">
        <v>67179.070000000007</v>
      </c>
      <c r="E379" s="160">
        <v>68379.53</v>
      </c>
      <c r="F379" s="160">
        <v>68841.789999999994</v>
      </c>
      <c r="G379" s="160">
        <v>76067.259999999995</v>
      </c>
      <c r="H379" s="160">
        <v>76011.5</v>
      </c>
      <c r="I379" s="160">
        <v>74349.36</v>
      </c>
      <c r="J379" s="160">
        <v>74109.31</v>
      </c>
      <c r="K379" s="160">
        <v>74206.100000000006</v>
      </c>
      <c r="L379" s="160">
        <v>78792.11</v>
      </c>
      <c r="M379" s="160">
        <v>206016.09</v>
      </c>
      <c r="N379" s="160">
        <v>1030027.38</v>
      </c>
    </row>
    <row r="380" spans="1:14" x14ac:dyDescent="0.25">
      <c r="A380" s="157" t="s">
        <v>183</v>
      </c>
      <c r="B380" s="160">
        <v>11700</v>
      </c>
      <c r="C380" s="160">
        <v>-11700</v>
      </c>
      <c r="D380" s="160">
        <v>0</v>
      </c>
      <c r="E380" s="160">
        <v>0</v>
      </c>
      <c r="F380" s="160">
        <v>0</v>
      </c>
      <c r="G380" s="160">
        <v>0</v>
      </c>
      <c r="H380" s="160">
        <v>0</v>
      </c>
      <c r="I380" s="160">
        <v>0</v>
      </c>
      <c r="J380" s="160">
        <v>0</v>
      </c>
      <c r="K380" s="160">
        <v>0</v>
      </c>
      <c r="L380" s="160">
        <v>0</v>
      </c>
      <c r="M380" s="160">
        <v>0</v>
      </c>
      <c r="N380" s="160">
        <v>0</v>
      </c>
    </row>
    <row r="381" spans="1:14" x14ac:dyDescent="0.25">
      <c r="A381" s="157" t="s">
        <v>184</v>
      </c>
      <c r="B381" s="160">
        <v>397913.06</v>
      </c>
      <c r="C381" s="160">
        <v>371958.39</v>
      </c>
      <c r="D381" s="160">
        <v>338354.76</v>
      </c>
      <c r="E381" s="160">
        <v>336205.44</v>
      </c>
      <c r="F381" s="160">
        <v>336205.44</v>
      </c>
      <c r="G381" s="160">
        <v>336205.44</v>
      </c>
      <c r="H381" s="160">
        <v>336205.44</v>
      </c>
      <c r="I381" s="160">
        <v>326185.67</v>
      </c>
      <c r="J381" s="160">
        <v>326185.67</v>
      </c>
      <c r="K381" s="160">
        <v>296558.21999999997</v>
      </c>
      <c r="L381" s="160">
        <v>296558.21999999997</v>
      </c>
      <c r="M381" s="160">
        <v>293425.89</v>
      </c>
      <c r="N381" s="160">
        <v>3991961.64</v>
      </c>
    </row>
    <row r="382" spans="1:14" x14ac:dyDescent="0.25">
      <c r="A382" s="157" t="s">
        <v>352</v>
      </c>
      <c r="B382" s="166">
        <v>0</v>
      </c>
      <c r="C382" s="166">
        <v>0</v>
      </c>
      <c r="D382" s="166">
        <v>0</v>
      </c>
      <c r="E382" s="166">
        <v>0</v>
      </c>
      <c r="F382" s="166">
        <v>0</v>
      </c>
      <c r="G382" s="166">
        <v>0</v>
      </c>
      <c r="H382" s="166">
        <v>0</v>
      </c>
      <c r="I382" s="166">
        <v>-28286.58</v>
      </c>
      <c r="J382" s="166">
        <v>1017.34</v>
      </c>
      <c r="K382" s="166">
        <v>0</v>
      </c>
      <c r="L382" s="166">
        <v>-700</v>
      </c>
      <c r="M382" s="166">
        <v>-9522.11</v>
      </c>
      <c r="N382" s="166">
        <v>-37491.35</v>
      </c>
    </row>
    <row r="383" spans="1:14" x14ac:dyDescent="0.25">
      <c r="A383" s="157" t="s">
        <v>344</v>
      </c>
      <c r="B383" s="160">
        <f t="shared" ref="B383:N383" si="36">SUM(B376:B382)</f>
        <v>544489.13</v>
      </c>
      <c r="C383" s="160">
        <f t="shared" si="36"/>
        <v>474814.33</v>
      </c>
      <c r="D383" s="160">
        <f t="shared" si="36"/>
        <v>440273.94</v>
      </c>
      <c r="E383" s="160">
        <f t="shared" si="36"/>
        <v>442880.83</v>
      </c>
      <c r="F383" s="160">
        <f t="shared" si="36"/>
        <v>442106.04000000004</v>
      </c>
      <c r="G383" s="160">
        <f t="shared" si="36"/>
        <v>450621.31</v>
      </c>
      <c r="H383" s="160">
        <f t="shared" si="36"/>
        <v>449223.74</v>
      </c>
      <c r="I383" s="160">
        <f t="shared" si="36"/>
        <v>410460.58999999997</v>
      </c>
      <c r="J383" s="160">
        <f t="shared" si="36"/>
        <v>439591.94</v>
      </c>
      <c r="K383" s="160">
        <f t="shared" si="36"/>
        <v>407539.3</v>
      </c>
      <c r="L383" s="160">
        <f t="shared" si="36"/>
        <v>425923.29</v>
      </c>
      <c r="M383" s="160">
        <f t="shared" si="36"/>
        <v>534407.80000000005</v>
      </c>
      <c r="N383" s="160">
        <f t="shared" si="36"/>
        <v>5462332.2400000002</v>
      </c>
    </row>
    <row r="384" spans="1:14" x14ac:dyDescent="0.25">
      <c r="A384" s="157"/>
      <c r="B384" s="161"/>
      <c r="C384" s="161"/>
      <c r="D384" s="161"/>
      <c r="E384" s="161"/>
      <c r="F384" s="161"/>
      <c r="G384" s="161"/>
      <c r="H384" s="161"/>
      <c r="I384" s="161"/>
      <c r="J384" s="161"/>
      <c r="K384" s="161"/>
      <c r="L384" s="161"/>
      <c r="M384" s="161"/>
      <c r="N384" s="161"/>
    </row>
    <row r="385" spans="1:14" ht="15.75" thickBot="1" x14ac:dyDescent="0.3">
      <c r="A385" s="157" t="s">
        <v>185</v>
      </c>
      <c r="B385" s="167">
        <v>-35056714.350000001</v>
      </c>
      <c r="C385" s="167">
        <v>-1162043.1000000001</v>
      </c>
      <c r="D385" s="167">
        <v>-1542055.83</v>
      </c>
      <c r="E385" s="167">
        <v>-999282.59</v>
      </c>
      <c r="F385" s="167">
        <v>-915134.85</v>
      </c>
      <c r="G385" s="167">
        <v>-2293025.9500000002</v>
      </c>
      <c r="H385" s="167">
        <v>-2669266.62</v>
      </c>
      <c r="I385" s="167">
        <v>-1877587.68</v>
      </c>
      <c r="J385" s="167">
        <v>-1340189.6299999999</v>
      </c>
      <c r="K385" s="167">
        <v>-1952246.53</v>
      </c>
      <c r="L385" s="167">
        <v>-1413109.51</v>
      </c>
      <c r="M385" s="167">
        <v>-474045.54</v>
      </c>
      <c r="N385" s="167">
        <v>-51694702.18</v>
      </c>
    </row>
    <row r="386" spans="1:14" ht="15.75" thickTop="1" x14ac:dyDescent="0.25">
      <c r="A386" s="157"/>
      <c r="B386" s="161"/>
      <c r="C386" s="161"/>
      <c r="D386" s="161"/>
      <c r="E386" s="161"/>
      <c r="F386" s="161"/>
      <c r="G386" s="161"/>
      <c r="H386" s="161"/>
      <c r="I386" s="161"/>
      <c r="J386" s="161"/>
      <c r="K386" s="161"/>
      <c r="L386" s="161"/>
      <c r="M386" s="161"/>
      <c r="N386" s="161"/>
    </row>
    <row r="387" spans="1:14" x14ac:dyDescent="0.25">
      <c r="A387" s="157" t="s">
        <v>471</v>
      </c>
      <c r="B387" s="160">
        <v>25845243.789999999</v>
      </c>
      <c r="C387" s="160">
        <v>26372696.530000001</v>
      </c>
      <c r="D387" s="160">
        <v>24144455.640000001</v>
      </c>
      <c r="E387" s="160">
        <v>25786271.09</v>
      </c>
      <c r="F387" s="160">
        <v>25294930.010000002</v>
      </c>
      <c r="G387" s="160">
        <v>24672490.289999999</v>
      </c>
      <c r="H387" s="160">
        <v>23483281.300000001</v>
      </c>
      <c r="I387" s="160">
        <v>24218085.190000001</v>
      </c>
      <c r="J387" s="160">
        <v>24768739.02</v>
      </c>
      <c r="K387" s="160">
        <v>23800604.690000001</v>
      </c>
      <c r="L387" s="160">
        <v>25144640.16</v>
      </c>
      <c r="M387" s="160">
        <v>26355120.32</v>
      </c>
      <c r="N387" s="160">
        <v>299886558.02999997</v>
      </c>
    </row>
    <row r="388" spans="1:14" x14ac:dyDescent="0.25">
      <c r="A388" s="157" t="s">
        <v>472</v>
      </c>
      <c r="B388" s="160">
        <v>60901958.140000001</v>
      </c>
      <c r="C388" s="160">
        <v>27534739.629999999</v>
      </c>
      <c r="D388" s="160">
        <v>25686511.469999999</v>
      </c>
      <c r="E388" s="160">
        <v>26785553.68</v>
      </c>
      <c r="F388" s="160">
        <v>26210064.859999999</v>
      </c>
      <c r="G388" s="160">
        <v>26965516.239999998</v>
      </c>
      <c r="H388" s="160">
        <v>26152547.920000002</v>
      </c>
      <c r="I388" s="160">
        <v>26095672.870000001</v>
      </c>
      <c r="J388" s="160">
        <v>26108928.649999999</v>
      </c>
      <c r="K388" s="160">
        <v>25752851.219999999</v>
      </c>
      <c r="L388" s="160">
        <v>26557749.670000002</v>
      </c>
      <c r="M388" s="160">
        <v>26829165.859999999</v>
      </c>
      <c r="N388" s="160">
        <v>351581260.20999998</v>
      </c>
    </row>
    <row r="389" spans="1:14" x14ac:dyDescent="0.25">
      <c r="A389" s="157" t="s">
        <v>473</v>
      </c>
      <c r="B389" s="160">
        <v>-35056714.350000001</v>
      </c>
      <c r="C389" s="160">
        <v>-1162043.1000000001</v>
      </c>
      <c r="D389" s="160">
        <v>-1542055.83</v>
      </c>
      <c r="E389" s="160">
        <v>-999282.59</v>
      </c>
      <c r="F389" s="160">
        <v>-915134.85</v>
      </c>
      <c r="G389" s="160">
        <v>-2293025.9500000002</v>
      </c>
      <c r="H389" s="160">
        <v>-2669266.62</v>
      </c>
      <c r="I389" s="160">
        <v>-1877587.68</v>
      </c>
      <c r="J389" s="160">
        <v>-1340189.6299999999</v>
      </c>
      <c r="K389" s="160">
        <v>-1952246.53</v>
      </c>
      <c r="L389" s="160">
        <v>-1413109.51</v>
      </c>
      <c r="M389" s="160">
        <v>-474045.54</v>
      </c>
      <c r="N389" s="160">
        <v>-51694702.18</v>
      </c>
    </row>
    <row r="390" spans="1:14" x14ac:dyDescent="0.25">
      <c r="A390" s="157"/>
      <c r="B390" s="161"/>
      <c r="C390" s="161"/>
      <c r="D390" s="161"/>
      <c r="E390" s="161"/>
      <c r="F390" s="161"/>
      <c r="G390" s="161"/>
      <c r="H390" s="161"/>
      <c r="I390" s="161"/>
      <c r="J390" s="161"/>
      <c r="K390" s="161"/>
      <c r="L390" s="161"/>
      <c r="M390" s="161"/>
      <c r="N390" s="161"/>
    </row>
    <row r="391" spans="1:14" x14ac:dyDescent="0.25">
      <c r="A391" s="157"/>
      <c r="B391" s="161"/>
      <c r="C391" s="161"/>
      <c r="D391" s="161"/>
      <c r="E391" s="161"/>
      <c r="F391" s="161"/>
      <c r="G391" s="161"/>
      <c r="H391" s="161"/>
      <c r="I391" s="161"/>
      <c r="J391" s="161"/>
      <c r="K391" s="161"/>
      <c r="L391" s="161"/>
      <c r="M391" s="161"/>
      <c r="N391" s="161"/>
    </row>
    <row r="392" spans="1:14" x14ac:dyDescent="0.25">
      <c r="A392" s="157"/>
      <c r="B392" s="161"/>
      <c r="C392" s="161"/>
      <c r="D392" s="161"/>
      <c r="E392" s="161"/>
      <c r="F392" s="161"/>
      <c r="G392" s="161"/>
      <c r="H392" s="161"/>
      <c r="I392" s="161"/>
      <c r="J392" s="161"/>
      <c r="K392" s="161"/>
      <c r="L392" s="161"/>
      <c r="M392" s="161"/>
      <c r="N392" s="161"/>
    </row>
    <row r="393" spans="1:14" x14ac:dyDescent="0.25">
      <c r="A393" s="157" t="s">
        <v>474</v>
      </c>
      <c r="B393" s="161"/>
      <c r="C393" s="161"/>
      <c r="D393" s="161"/>
      <c r="E393" s="161"/>
      <c r="F393" s="161"/>
      <c r="G393" s="161"/>
      <c r="H393" s="161"/>
      <c r="I393" s="161"/>
      <c r="J393" s="161"/>
      <c r="K393" s="161"/>
      <c r="L393" s="161"/>
      <c r="M393" s="161"/>
      <c r="N393" s="161"/>
    </row>
    <row r="394" spans="1:14" x14ac:dyDescent="0.25">
      <c r="A394" s="157"/>
      <c r="B394" s="161"/>
      <c r="C394" s="161"/>
      <c r="D394" s="161"/>
      <c r="E394" s="161"/>
      <c r="F394" s="161"/>
      <c r="G394" s="161"/>
      <c r="H394" s="161"/>
      <c r="I394" s="161"/>
      <c r="J394" s="161"/>
      <c r="K394" s="161"/>
      <c r="L394" s="161"/>
      <c r="M394" s="161"/>
      <c r="N394" s="161"/>
    </row>
    <row r="395" spans="1:14" ht="30" x14ac:dyDescent="0.25">
      <c r="A395" s="157" t="s">
        <v>475</v>
      </c>
      <c r="B395" s="160">
        <v>14942.88</v>
      </c>
      <c r="C395" s="160">
        <v>15037.99</v>
      </c>
      <c r="D395" s="160">
        <v>13377.19</v>
      </c>
      <c r="E395" s="160">
        <v>15002.63</v>
      </c>
      <c r="F395" s="160">
        <v>15096.74</v>
      </c>
      <c r="G395" s="160">
        <v>14809.08</v>
      </c>
      <c r="H395" s="160">
        <v>14102.77</v>
      </c>
      <c r="I395" s="160">
        <v>15248.26</v>
      </c>
      <c r="J395" s="160">
        <v>14873.95</v>
      </c>
      <c r="K395" s="160">
        <v>14011.35</v>
      </c>
      <c r="L395" s="160">
        <v>14895.48</v>
      </c>
      <c r="M395" s="160">
        <v>13313.42</v>
      </c>
      <c r="N395" s="160">
        <v>174711.74</v>
      </c>
    </row>
    <row r="396" spans="1:14" ht="30" x14ac:dyDescent="0.25">
      <c r="A396" s="157" t="s">
        <v>476</v>
      </c>
      <c r="B396" s="160">
        <v>8188.42</v>
      </c>
      <c r="C396" s="160">
        <v>8066.08</v>
      </c>
      <c r="D396" s="160">
        <v>7871.69</v>
      </c>
      <c r="E396" s="160">
        <v>9378.2000000000007</v>
      </c>
      <c r="F396" s="160">
        <v>9222.7999999999993</v>
      </c>
      <c r="G396" s="160">
        <v>9336.8799999999992</v>
      </c>
      <c r="H396" s="160">
        <v>8190.12</v>
      </c>
      <c r="I396" s="160">
        <v>8193.1200000000008</v>
      </c>
      <c r="J396" s="160">
        <v>8602.6200000000008</v>
      </c>
      <c r="K396" s="160">
        <v>6875.89</v>
      </c>
      <c r="L396" s="160">
        <v>6731.17</v>
      </c>
      <c r="M396" s="160">
        <v>6727.44</v>
      </c>
      <c r="N396" s="160">
        <v>97384.43</v>
      </c>
    </row>
    <row r="397" spans="1:14" ht="30" x14ac:dyDescent="0.25">
      <c r="A397" s="157" t="s">
        <v>477</v>
      </c>
      <c r="B397" s="160">
        <v>87243.54</v>
      </c>
      <c r="C397" s="160">
        <v>91268.21</v>
      </c>
      <c r="D397" s="160">
        <v>82218.39</v>
      </c>
      <c r="E397" s="160">
        <v>89147.61</v>
      </c>
      <c r="F397" s="160">
        <v>85384.26</v>
      </c>
      <c r="G397" s="160">
        <v>88863.09</v>
      </c>
      <c r="H397" s="160">
        <v>85378.67</v>
      </c>
      <c r="I397" s="160">
        <v>87688.2</v>
      </c>
      <c r="J397" s="160">
        <v>85272.37</v>
      </c>
      <c r="K397" s="160">
        <v>81850.539999999994</v>
      </c>
      <c r="L397" s="160">
        <v>86823.54</v>
      </c>
      <c r="M397" s="160">
        <v>83815.97</v>
      </c>
      <c r="N397" s="160">
        <v>1034954.39</v>
      </c>
    </row>
    <row r="398" spans="1:14" ht="30" x14ac:dyDescent="0.25">
      <c r="A398" s="157" t="s">
        <v>478</v>
      </c>
      <c r="B398" s="160">
        <v>18359.759999999998</v>
      </c>
      <c r="C398" s="160">
        <v>18941.05</v>
      </c>
      <c r="D398" s="160">
        <v>17754.060000000001</v>
      </c>
      <c r="E398" s="160">
        <v>18108.48</v>
      </c>
      <c r="F398" s="160">
        <v>17568.12</v>
      </c>
      <c r="G398" s="160">
        <v>18499.27</v>
      </c>
      <c r="H398" s="160">
        <v>17354.89</v>
      </c>
      <c r="I398" s="160">
        <v>17495.580000000002</v>
      </c>
      <c r="J398" s="160">
        <v>18821.96</v>
      </c>
      <c r="K398" s="160">
        <v>16038.19</v>
      </c>
      <c r="L398" s="160">
        <v>18797.97</v>
      </c>
      <c r="M398" s="160">
        <v>17179.86</v>
      </c>
      <c r="N398" s="160">
        <v>214919.19</v>
      </c>
    </row>
    <row r="399" spans="1:14" ht="30" x14ac:dyDescent="0.25">
      <c r="A399" s="157" t="s">
        <v>479</v>
      </c>
      <c r="B399" s="160">
        <v>22651.06</v>
      </c>
      <c r="C399" s="160">
        <v>23467.05</v>
      </c>
      <c r="D399" s="160">
        <v>21441.200000000001</v>
      </c>
      <c r="E399" s="160">
        <v>22599.11</v>
      </c>
      <c r="F399" s="160">
        <v>21977.81</v>
      </c>
      <c r="G399" s="160">
        <v>22269.72</v>
      </c>
      <c r="H399" s="160">
        <v>21470.92</v>
      </c>
      <c r="I399" s="160">
        <v>22208.14</v>
      </c>
      <c r="J399" s="160">
        <v>22789.08</v>
      </c>
      <c r="K399" s="160">
        <v>21058.58</v>
      </c>
      <c r="L399" s="160">
        <v>21727.07</v>
      </c>
      <c r="M399" s="160">
        <v>19741.810000000001</v>
      </c>
      <c r="N399" s="160">
        <v>263401.55</v>
      </c>
    </row>
    <row r="400" spans="1:14" ht="30" x14ac:dyDescent="0.25">
      <c r="A400" s="157" t="s">
        <v>480</v>
      </c>
      <c r="B400" s="160">
        <v>198759.9</v>
      </c>
      <c r="C400" s="160">
        <v>199509.34</v>
      </c>
      <c r="D400" s="160">
        <v>176790.33</v>
      </c>
      <c r="E400" s="160">
        <v>189869.15</v>
      </c>
      <c r="F400" s="160">
        <v>185004.78</v>
      </c>
      <c r="G400" s="160">
        <v>190303.98</v>
      </c>
      <c r="H400" s="160">
        <v>184041.88</v>
      </c>
      <c r="I400" s="160">
        <v>189179.49</v>
      </c>
      <c r="J400" s="160">
        <v>184982.63</v>
      </c>
      <c r="K400" s="160">
        <v>176546.42</v>
      </c>
      <c r="L400" s="160">
        <v>185972.58</v>
      </c>
      <c r="M400" s="160">
        <v>177617.35</v>
      </c>
      <c r="N400" s="160">
        <v>2238577.83</v>
      </c>
    </row>
    <row r="401" spans="1:14" ht="30" x14ac:dyDescent="0.25">
      <c r="A401" s="157" t="s">
        <v>481</v>
      </c>
      <c r="B401" s="160">
        <v>5902.7</v>
      </c>
      <c r="C401" s="160">
        <v>5432.43</v>
      </c>
      <c r="D401" s="160">
        <v>4686.3100000000004</v>
      </c>
      <c r="E401" s="160">
        <v>4938.04</v>
      </c>
      <c r="F401" s="160">
        <v>4643.3999999999996</v>
      </c>
      <c r="G401" s="160">
        <v>4963.1000000000004</v>
      </c>
      <c r="H401" s="160">
        <v>4928.45</v>
      </c>
      <c r="I401" s="160">
        <v>4469.0200000000004</v>
      </c>
      <c r="J401" s="160">
        <v>4047.82</v>
      </c>
      <c r="K401" s="160">
        <v>4466.41</v>
      </c>
      <c r="L401" s="160">
        <v>4846.58</v>
      </c>
      <c r="M401" s="160">
        <v>4723.66</v>
      </c>
      <c r="N401" s="160">
        <v>58047.92</v>
      </c>
    </row>
    <row r="402" spans="1:14" ht="30" x14ac:dyDescent="0.25">
      <c r="A402" s="157" t="s">
        <v>482</v>
      </c>
      <c r="B402" s="160">
        <v>0</v>
      </c>
      <c r="C402" s="160">
        <v>0</v>
      </c>
      <c r="D402" s="160">
        <v>50</v>
      </c>
      <c r="E402" s="160">
        <v>66.75</v>
      </c>
      <c r="F402" s="160">
        <v>88.75</v>
      </c>
      <c r="G402" s="160">
        <v>161.5</v>
      </c>
      <c r="H402" s="160">
        <v>395.68</v>
      </c>
      <c r="I402" s="160">
        <v>1011.52</v>
      </c>
      <c r="J402" s="160">
        <v>1248.17</v>
      </c>
      <c r="K402" s="160">
        <v>1000.86</v>
      </c>
      <c r="L402" s="160">
        <v>0</v>
      </c>
      <c r="M402" s="160">
        <v>0</v>
      </c>
      <c r="N402" s="160">
        <v>4023.23</v>
      </c>
    </row>
    <row r="403" spans="1:14" x14ac:dyDescent="0.25">
      <c r="A403" s="157"/>
      <c r="B403" s="161"/>
      <c r="C403" s="161"/>
      <c r="D403" s="161"/>
      <c r="E403" s="161"/>
      <c r="F403" s="161"/>
      <c r="G403" s="161"/>
      <c r="H403" s="161"/>
      <c r="I403" s="161"/>
      <c r="J403" s="161"/>
      <c r="K403" s="161"/>
      <c r="L403" s="161"/>
      <c r="M403" s="161"/>
      <c r="N403" s="161"/>
    </row>
    <row r="404" spans="1:14" ht="30" x14ac:dyDescent="0.25">
      <c r="A404" s="157" t="s">
        <v>483</v>
      </c>
      <c r="B404" s="160">
        <f t="shared" ref="B404:N404" si="37">SUM(B394:B403)</f>
        <v>356048.26</v>
      </c>
      <c r="C404" s="160">
        <f t="shared" si="37"/>
        <v>361722.14999999997</v>
      </c>
      <c r="D404" s="160">
        <f t="shared" si="37"/>
        <v>324189.17</v>
      </c>
      <c r="E404" s="160">
        <f t="shared" si="37"/>
        <v>349109.97000000003</v>
      </c>
      <c r="F404" s="160">
        <f t="shared" si="37"/>
        <v>338986.66000000003</v>
      </c>
      <c r="G404" s="160">
        <f t="shared" si="37"/>
        <v>349206.62</v>
      </c>
      <c r="H404" s="160">
        <f t="shared" si="37"/>
        <v>335863.38</v>
      </c>
      <c r="I404" s="160">
        <f t="shared" si="37"/>
        <v>345493.33</v>
      </c>
      <c r="J404" s="160">
        <f t="shared" si="37"/>
        <v>340638.6</v>
      </c>
      <c r="K404" s="160">
        <f t="shared" si="37"/>
        <v>321848.23999999993</v>
      </c>
      <c r="L404" s="160">
        <f t="shared" si="37"/>
        <v>339794.39</v>
      </c>
      <c r="M404" s="160">
        <f t="shared" si="37"/>
        <v>323119.50999999995</v>
      </c>
      <c r="N404" s="160">
        <f t="shared" si="37"/>
        <v>4086020.28</v>
      </c>
    </row>
    <row r="405" spans="1:14" x14ac:dyDescent="0.25">
      <c r="A405" s="157"/>
      <c r="B405" s="161"/>
      <c r="C405" s="161"/>
      <c r="D405" s="161"/>
      <c r="E405" s="161"/>
      <c r="F405" s="161"/>
      <c r="G405" s="161"/>
      <c r="H405" s="161"/>
      <c r="I405" s="161"/>
      <c r="J405" s="161"/>
      <c r="K405" s="161"/>
      <c r="L405" s="161"/>
      <c r="M405" s="161"/>
      <c r="N405" s="161"/>
    </row>
    <row r="406" spans="1:14" x14ac:dyDescent="0.25">
      <c r="A406" s="157" t="s">
        <v>484</v>
      </c>
      <c r="B406" s="160">
        <v>482038.64</v>
      </c>
      <c r="C406" s="160">
        <v>479168.96</v>
      </c>
      <c r="D406" s="160">
        <v>424583.49</v>
      </c>
      <c r="E406" s="160">
        <v>477838.17</v>
      </c>
      <c r="F406" s="160">
        <v>474932.08</v>
      </c>
      <c r="G406" s="160">
        <v>464747.6</v>
      </c>
      <c r="H406" s="160">
        <v>450598.97</v>
      </c>
      <c r="I406" s="160">
        <v>478828.54</v>
      </c>
      <c r="J406" s="160">
        <v>460521.51</v>
      </c>
      <c r="K406" s="160">
        <v>442193.34</v>
      </c>
      <c r="L406" s="160">
        <v>467824.29</v>
      </c>
      <c r="M406" s="160">
        <v>474033.31</v>
      </c>
      <c r="N406" s="160">
        <v>5577308.9000000004</v>
      </c>
    </row>
    <row r="407" spans="1:14" x14ac:dyDescent="0.25">
      <c r="A407" s="157" t="s">
        <v>485</v>
      </c>
      <c r="B407" s="160">
        <v>269253.08</v>
      </c>
      <c r="C407" s="160">
        <v>272716.96999999997</v>
      </c>
      <c r="D407" s="160">
        <v>263466.83</v>
      </c>
      <c r="E407" s="160">
        <v>314457.59000000003</v>
      </c>
      <c r="F407" s="160">
        <v>307000.3</v>
      </c>
      <c r="G407" s="160">
        <v>310417.99</v>
      </c>
      <c r="H407" s="160">
        <v>271700.88</v>
      </c>
      <c r="I407" s="160">
        <v>273080.51</v>
      </c>
      <c r="J407" s="160">
        <v>286995.96000000002</v>
      </c>
      <c r="K407" s="160">
        <v>227912.97</v>
      </c>
      <c r="L407" s="160">
        <v>225102.88</v>
      </c>
      <c r="M407" s="160">
        <v>261974.98</v>
      </c>
      <c r="N407" s="160">
        <v>3284080.94</v>
      </c>
    </row>
    <row r="408" spans="1:14" x14ac:dyDescent="0.25">
      <c r="A408" s="157" t="s">
        <v>486</v>
      </c>
      <c r="B408" s="160">
        <v>2058515.61</v>
      </c>
      <c r="C408" s="160">
        <v>2100160.88</v>
      </c>
      <c r="D408" s="160">
        <v>1907798.36</v>
      </c>
      <c r="E408" s="160">
        <v>2087212.26</v>
      </c>
      <c r="F408" s="160">
        <v>1979963.33</v>
      </c>
      <c r="G408" s="160">
        <v>2067346.56</v>
      </c>
      <c r="H408" s="160">
        <v>2010527.34</v>
      </c>
      <c r="I408" s="160">
        <v>2053365.72</v>
      </c>
      <c r="J408" s="160">
        <v>1990792.83</v>
      </c>
      <c r="K408" s="160">
        <v>1925142.35</v>
      </c>
      <c r="L408" s="160">
        <v>2032823.05</v>
      </c>
      <c r="M408" s="160">
        <v>2247565.34</v>
      </c>
      <c r="N408" s="160">
        <v>24461213.629999999</v>
      </c>
    </row>
    <row r="409" spans="1:14" x14ac:dyDescent="0.25">
      <c r="A409" s="157" t="s">
        <v>487</v>
      </c>
      <c r="B409" s="160">
        <v>475488.13</v>
      </c>
      <c r="C409" s="160">
        <v>531490.93999999994</v>
      </c>
      <c r="D409" s="160">
        <v>506059.66</v>
      </c>
      <c r="E409" s="160">
        <v>516858.21</v>
      </c>
      <c r="F409" s="160">
        <v>500399.96</v>
      </c>
      <c r="G409" s="160">
        <v>526537.35</v>
      </c>
      <c r="H409" s="160">
        <v>493992.5</v>
      </c>
      <c r="I409" s="160">
        <v>497721.84</v>
      </c>
      <c r="J409" s="160">
        <v>532724.43999999994</v>
      </c>
      <c r="K409" s="160">
        <v>460477.69</v>
      </c>
      <c r="L409" s="160">
        <v>532303.19999999995</v>
      </c>
      <c r="M409" s="160">
        <v>560893.84</v>
      </c>
      <c r="N409" s="160">
        <v>6134947.7599999998</v>
      </c>
    </row>
    <row r="410" spans="1:14" x14ac:dyDescent="0.25">
      <c r="A410" s="157" t="s">
        <v>488</v>
      </c>
      <c r="B410" s="160">
        <v>339107.85</v>
      </c>
      <c r="C410" s="160">
        <v>346526.69</v>
      </c>
      <c r="D410" s="160">
        <v>317587.65999999997</v>
      </c>
      <c r="E410" s="160">
        <v>336699.81</v>
      </c>
      <c r="F410" s="160">
        <v>325344.25</v>
      </c>
      <c r="G410" s="160">
        <v>329032.2</v>
      </c>
      <c r="H410" s="160">
        <v>318614.31</v>
      </c>
      <c r="I410" s="160">
        <v>327028.26</v>
      </c>
      <c r="J410" s="160">
        <v>340009.22</v>
      </c>
      <c r="K410" s="160">
        <v>315795.8</v>
      </c>
      <c r="L410" s="160">
        <v>320359.49</v>
      </c>
      <c r="M410" s="160">
        <v>335762.5</v>
      </c>
      <c r="N410" s="160">
        <v>3951868.04</v>
      </c>
    </row>
    <row r="411" spans="1:14" x14ac:dyDescent="0.25">
      <c r="A411" s="157" t="s">
        <v>489</v>
      </c>
      <c r="B411" s="160">
        <v>2353791.96</v>
      </c>
      <c r="C411" s="160">
        <v>2356459.44</v>
      </c>
      <c r="D411" s="160">
        <v>2092895.63</v>
      </c>
      <c r="E411" s="160">
        <v>2270289.5499999998</v>
      </c>
      <c r="F411" s="160">
        <v>2189011.42</v>
      </c>
      <c r="G411" s="160">
        <v>2251462.36</v>
      </c>
      <c r="H411" s="160">
        <v>2206392.08</v>
      </c>
      <c r="I411" s="160">
        <v>2264530.7200000002</v>
      </c>
      <c r="J411" s="160">
        <v>2201259.54</v>
      </c>
      <c r="K411" s="160">
        <v>2124298.39</v>
      </c>
      <c r="L411" s="160">
        <v>2235720.75</v>
      </c>
      <c r="M411" s="160">
        <v>2447346.19</v>
      </c>
      <c r="N411" s="160">
        <v>26993458.030000001</v>
      </c>
    </row>
    <row r="412" spans="1:14" ht="30" x14ac:dyDescent="0.25">
      <c r="A412" s="157" t="s">
        <v>490</v>
      </c>
      <c r="B412" s="160">
        <v>73686.070000000007</v>
      </c>
      <c r="C412" s="160">
        <v>75307.960000000006</v>
      </c>
      <c r="D412" s="160">
        <v>64367.65</v>
      </c>
      <c r="E412" s="160">
        <v>69371.16</v>
      </c>
      <c r="F412" s="160">
        <v>64491.34</v>
      </c>
      <c r="G412" s="160">
        <v>68320.31</v>
      </c>
      <c r="H412" s="160">
        <v>67929.09</v>
      </c>
      <c r="I412" s="160">
        <v>61554.2</v>
      </c>
      <c r="J412" s="160">
        <v>55372.76</v>
      </c>
      <c r="K412" s="160">
        <v>63139.57</v>
      </c>
      <c r="L412" s="160">
        <v>66336.2</v>
      </c>
      <c r="M412" s="160">
        <v>75016.639999999999</v>
      </c>
      <c r="N412" s="160">
        <v>804892.95</v>
      </c>
    </row>
    <row r="413" spans="1:14" x14ac:dyDescent="0.25">
      <c r="A413" s="157" t="s">
        <v>491</v>
      </c>
      <c r="B413" s="160">
        <v>0</v>
      </c>
      <c r="C413" s="160">
        <v>0</v>
      </c>
      <c r="D413" s="160">
        <v>0</v>
      </c>
      <c r="E413" s="160">
        <v>2616.56</v>
      </c>
      <c r="F413" s="160">
        <v>0</v>
      </c>
      <c r="G413" s="160">
        <v>14944.68</v>
      </c>
      <c r="H413" s="160">
        <v>27914.87</v>
      </c>
      <c r="I413" s="160">
        <v>42146.86</v>
      </c>
      <c r="J413" s="160">
        <v>43966.59</v>
      </c>
      <c r="K413" s="160">
        <v>59391.43</v>
      </c>
      <c r="L413" s="160">
        <v>32644.38</v>
      </c>
      <c r="M413" s="160">
        <v>0</v>
      </c>
      <c r="N413" s="160">
        <v>223625.37</v>
      </c>
    </row>
    <row r="414" spans="1:14" x14ac:dyDescent="0.25">
      <c r="A414" s="157"/>
      <c r="B414" s="161"/>
      <c r="C414" s="161"/>
      <c r="D414" s="161"/>
      <c r="E414" s="161"/>
      <c r="F414" s="161"/>
      <c r="G414" s="161"/>
      <c r="H414" s="161"/>
      <c r="I414" s="161"/>
      <c r="J414" s="161"/>
      <c r="K414" s="161"/>
      <c r="L414" s="161"/>
      <c r="M414" s="161"/>
      <c r="N414" s="161"/>
    </row>
    <row r="415" spans="1:14" x14ac:dyDescent="0.25">
      <c r="A415" s="157" t="s">
        <v>492</v>
      </c>
      <c r="B415" s="160">
        <f t="shared" ref="B415:N415" si="38">SUM(B405:B414)</f>
        <v>6051881.3399999999</v>
      </c>
      <c r="C415" s="160">
        <f t="shared" si="38"/>
        <v>6161831.8399999989</v>
      </c>
      <c r="D415" s="160">
        <f t="shared" si="38"/>
        <v>5576759.2800000012</v>
      </c>
      <c r="E415" s="160">
        <f t="shared" si="38"/>
        <v>6075343.3099999996</v>
      </c>
      <c r="F415" s="160">
        <f t="shared" si="38"/>
        <v>5841142.6799999997</v>
      </c>
      <c r="G415" s="160">
        <f t="shared" si="38"/>
        <v>6032809.0499999998</v>
      </c>
      <c r="H415" s="160">
        <f t="shared" si="38"/>
        <v>5847670.04</v>
      </c>
      <c r="I415" s="160">
        <f t="shared" si="38"/>
        <v>5998256.6500000004</v>
      </c>
      <c r="J415" s="160">
        <f t="shared" si="38"/>
        <v>5911642.8499999996</v>
      </c>
      <c r="K415" s="160">
        <f t="shared" si="38"/>
        <v>5618351.54</v>
      </c>
      <c r="L415" s="160">
        <f t="shared" si="38"/>
        <v>5913114.2400000002</v>
      </c>
      <c r="M415" s="160">
        <f t="shared" si="38"/>
        <v>6402592.7999999998</v>
      </c>
      <c r="N415" s="160">
        <f t="shared" si="38"/>
        <v>71431395.620000005</v>
      </c>
    </row>
    <row r="416" spans="1:14" x14ac:dyDescent="0.25">
      <c r="A416" s="157"/>
      <c r="B416" s="161"/>
      <c r="C416" s="161"/>
      <c r="D416" s="161"/>
      <c r="E416" s="161"/>
      <c r="F416" s="161"/>
      <c r="G416" s="161"/>
      <c r="H416" s="161"/>
      <c r="I416" s="161"/>
      <c r="J416" s="161"/>
      <c r="K416" s="161"/>
      <c r="L416" s="161"/>
      <c r="M416" s="161"/>
      <c r="N416" s="161"/>
    </row>
    <row r="417" spans="1:14" x14ac:dyDescent="0.25">
      <c r="A417" s="157" t="s">
        <v>493</v>
      </c>
      <c r="B417" s="179">
        <v>32.258750655830703</v>
      </c>
      <c r="C417" s="179">
        <v>31.8638967042803</v>
      </c>
      <c r="D417" s="179">
        <v>31.739363050087501</v>
      </c>
      <c r="E417" s="179">
        <v>31.850293581858601</v>
      </c>
      <c r="F417" s="179">
        <v>31.4592474931674</v>
      </c>
      <c r="G417" s="179">
        <v>31.382611208798899</v>
      </c>
      <c r="H417" s="179">
        <v>31.951096841258799</v>
      </c>
      <c r="I417" s="179">
        <v>31.402175723656299</v>
      </c>
      <c r="J417" s="179">
        <v>30.961614769445902</v>
      </c>
      <c r="K417" s="179">
        <v>31.559652710124301</v>
      </c>
      <c r="L417" s="179">
        <v>31.407130888027801</v>
      </c>
      <c r="M417" s="179">
        <v>35.605675326099501</v>
      </c>
      <c r="N417" s="179">
        <v>31.922920005261201</v>
      </c>
    </row>
    <row r="418" spans="1:14" x14ac:dyDescent="0.25">
      <c r="A418" s="157" t="s">
        <v>494</v>
      </c>
      <c r="B418" s="179">
        <v>32.882177514099197</v>
      </c>
      <c r="C418" s="179">
        <v>33.810347777358999</v>
      </c>
      <c r="D418" s="179">
        <v>33.470173495145303</v>
      </c>
      <c r="E418" s="179">
        <v>33.530697788488197</v>
      </c>
      <c r="F418" s="179">
        <v>33.2871036995273</v>
      </c>
      <c r="G418" s="179">
        <v>33.246436711192601</v>
      </c>
      <c r="H418" s="179">
        <v>33.174224553486397</v>
      </c>
      <c r="I418" s="179">
        <v>33.330466293670803</v>
      </c>
      <c r="J418" s="179">
        <v>33.361459648339697</v>
      </c>
      <c r="K418" s="179">
        <v>33.146686465315803</v>
      </c>
      <c r="L418" s="179">
        <v>33.441865232938703</v>
      </c>
      <c r="M418" s="179">
        <v>38.941258487626797</v>
      </c>
      <c r="N418" s="179">
        <v>33.722854259145898</v>
      </c>
    </row>
    <row r="419" spans="1:14" x14ac:dyDescent="0.25">
      <c r="A419" s="157" t="s">
        <v>495</v>
      </c>
      <c r="B419" s="179">
        <v>23.5950491004835</v>
      </c>
      <c r="C419" s="179">
        <v>23.010869611664301</v>
      </c>
      <c r="D419" s="179">
        <v>23.204034523176599</v>
      </c>
      <c r="E419" s="179">
        <v>23.412991778467202</v>
      </c>
      <c r="F419" s="179">
        <v>23.188856236500701</v>
      </c>
      <c r="G419" s="179">
        <v>23.2644010015857</v>
      </c>
      <c r="H419" s="179">
        <v>23.548356281492801</v>
      </c>
      <c r="I419" s="179">
        <v>23.416670886162599</v>
      </c>
      <c r="J419" s="179">
        <v>23.346282389008302</v>
      </c>
      <c r="K419" s="179">
        <v>23.520215627166301</v>
      </c>
      <c r="L419" s="179">
        <v>23.413270755834201</v>
      </c>
      <c r="M419" s="179">
        <v>26.8154784822033</v>
      </c>
      <c r="N419" s="179">
        <v>23.635064372256998</v>
      </c>
    </row>
    <row r="420" spans="1:14" x14ac:dyDescent="0.25">
      <c r="A420" s="157" t="s">
        <v>496</v>
      </c>
      <c r="B420" s="179">
        <v>25.898384837274602</v>
      </c>
      <c r="C420" s="179">
        <v>28.060268042162399</v>
      </c>
      <c r="D420" s="179">
        <v>28.5038836187328</v>
      </c>
      <c r="E420" s="179">
        <v>28.5423298918518</v>
      </c>
      <c r="F420" s="179">
        <v>28.483409721700401</v>
      </c>
      <c r="G420" s="179">
        <v>28.462601497248301</v>
      </c>
      <c r="H420" s="179">
        <v>28.464167736009902</v>
      </c>
      <c r="I420" s="179">
        <v>28.4484332614295</v>
      </c>
      <c r="J420" s="179">
        <v>28.303345666444901</v>
      </c>
      <c r="K420" s="179">
        <v>28.7113252804712</v>
      </c>
      <c r="L420" s="179">
        <v>28.3170576397345</v>
      </c>
      <c r="M420" s="179">
        <v>32.648335900292601</v>
      </c>
      <c r="N420" s="179">
        <v>28.5453698201636</v>
      </c>
    </row>
    <row r="421" spans="1:14" x14ac:dyDescent="0.25">
      <c r="A421" s="157" t="s">
        <v>497</v>
      </c>
      <c r="B421" s="179">
        <v>14.970948379457701</v>
      </c>
      <c r="C421" s="179">
        <v>14.7665211434756</v>
      </c>
      <c r="D421" s="179">
        <v>14.8120282446878</v>
      </c>
      <c r="E421" s="179">
        <v>14.8988084044018</v>
      </c>
      <c r="F421" s="179">
        <v>14.803306152887799</v>
      </c>
      <c r="G421" s="179">
        <v>14.7748691945835</v>
      </c>
      <c r="H421" s="179">
        <v>14.839341304424799</v>
      </c>
      <c r="I421" s="179">
        <v>14.725603314820599</v>
      </c>
      <c r="J421" s="179">
        <v>14.919830901466799</v>
      </c>
      <c r="K421" s="179">
        <v>14.996063362297001</v>
      </c>
      <c r="L421" s="179">
        <v>14.744716613883099</v>
      </c>
      <c r="M421" s="179">
        <v>17.0076857187867</v>
      </c>
      <c r="N421" s="179">
        <v>15.0032072324555</v>
      </c>
    </row>
    <row r="422" spans="1:14" x14ac:dyDescent="0.25">
      <c r="A422" s="157" t="s">
        <v>498</v>
      </c>
      <c r="B422" s="179">
        <v>11.8423885300808</v>
      </c>
      <c r="C422" s="179">
        <v>11.811273798008701</v>
      </c>
      <c r="D422" s="179">
        <v>11.838292456380399</v>
      </c>
      <c r="E422" s="179">
        <v>11.957127053025699</v>
      </c>
      <c r="F422" s="179">
        <v>11.8321884439959</v>
      </c>
      <c r="G422" s="179">
        <v>11.8308737421046</v>
      </c>
      <c r="H422" s="179">
        <v>11.9885326100777</v>
      </c>
      <c r="I422" s="179">
        <v>11.9702760589956</v>
      </c>
      <c r="J422" s="179">
        <v>11.8998175125956</v>
      </c>
      <c r="K422" s="179">
        <v>12.032520342242</v>
      </c>
      <c r="L422" s="179">
        <v>12.0217762747605</v>
      </c>
      <c r="M422" s="179">
        <v>13.778756354601599</v>
      </c>
      <c r="N422" s="179">
        <v>12.0583066928703</v>
      </c>
    </row>
    <row r="423" spans="1:14" x14ac:dyDescent="0.25">
      <c r="A423" s="157" t="s">
        <v>499</v>
      </c>
      <c r="B423" s="179">
        <v>12.4834516407746</v>
      </c>
      <c r="C423" s="179">
        <v>13.862665510646201</v>
      </c>
      <c r="D423" s="179">
        <v>13.7352522560394</v>
      </c>
      <c r="E423" s="179">
        <v>14.0483187661501</v>
      </c>
      <c r="F423" s="179">
        <v>13.8888185381402</v>
      </c>
      <c r="G423" s="179">
        <v>13.7656525155649</v>
      </c>
      <c r="H423" s="179">
        <v>13.7830534955209</v>
      </c>
      <c r="I423" s="179">
        <v>13.773534242406599</v>
      </c>
      <c r="J423" s="179">
        <v>13.6796497867988</v>
      </c>
      <c r="K423" s="179">
        <v>14.1365369502576</v>
      </c>
      <c r="L423" s="179">
        <v>13.6872186160138</v>
      </c>
      <c r="M423" s="179">
        <v>15.8810413958668</v>
      </c>
      <c r="N423" s="179">
        <v>13.8660084633523</v>
      </c>
    </row>
    <row r="424" spans="1:14" ht="30" x14ac:dyDescent="0.25">
      <c r="A424" s="157" t="s">
        <v>500</v>
      </c>
      <c r="B424" s="179">
        <v>0</v>
      </c>
      <c r="C424" s="179">
        <v>0</v>
      </c>
      <c r="D424" s="179">
        <v>0</v>
      </c>
      <c r="E424" s="179">
        <v>39.199400749063699</v>
      </c>
      <c r="F424" s="179">
        <v>0</v>
      </c>
      <c r="G424" s="179">
        <v>92.536718266253899</v>
      </c>
      <c r="H424" s="179">
        <v>70.549105337646594</v>
      </c>
      <c r="I424" s="179">
        <v>41.666857798165097</v>
      </c>
      <c r="J424" s="179">
        <v>35.224841167469201</v>
      </c>
      <c r="K424" s="179">
        <v>59.340397258357797</v>
      </c>
      <c r="L424" s="179">
        <v>0</v>
      </c>
      <c r="M424" s="179">
        <v>0</v>
      </c>
      <c r="N424" s="179">
        <v>55.583541085147999</v>
      </c>
    </row>
    <row r="425" spans="1:14" x14ac:dyDescent="0.25">
      <c r="A425" s="157"/>
      <c r="B425" s="161"/>
      <c r="C425" s="161"/>
      <c r="D425" s="161"/>
      <c r="E425" s="161"/>
      <c r="F425" s="161"/>
      <c r="G425" s="161"/>
      <c r="H425" s="161"/>
      <c r="I425" s="161"/>
      <c r="J425" s="161"/>
      <c r="K425" s="161"/>
      <c r="L425" s="161"/>
      <c r="M425" s="161"/>
      <c r="N425" s="161"/>
    </row>
    <row r="426" spans="1:14" x14ac:dyDescent="0.25">
      <c r="A426" s="157" t="s">
        <v>501</v>
      </c>
      <c r="B426" s="179">
        <v>16.997362492376698</v>
      </c>
      <c r="C426" s="179">
        <v>17.034709762728099</v>
      </c>
      <c r="D426" s="179">
        <v>17.2021763712835</v>
      </c>
      <c r="E426" s="179">
        <v>17.402376993129099</v>
      </c>
      <c r="F426" s="179">
        <v>17.231187445547299</v>
      </c>
      <c r="G426" s="179">
        <v>17.275757973889501</v>
      </c>
      <c r="H426" s="179">
        <v>17.410859260691101</v>
      </c>
      <c r="I426" s="179">
        <v>17.361425327661198</v>
      </c>
      <c r="J426" s="179">
        <v>17.354588851645101</v>
      </c>
      <c r="K426" s="179">
        <v>17.4565240437543</v>
      </c>
      <c r="L426" s="179">
        <v>17.402036096004998</v>
      </c>
      <c r="M426" s="179">
        <v>19.8149372038847</v>
      </c>
      <c r="N426" s="179">
        <v>17.4818994339402</v>
      </c>
    </row>
    <row r="427" spans="1:14" x14ac:dyDescent="0.25">
      <c r="A427" s="157"/>
      <c r="B427" s="161"/>
      <c r="C427" s="161"/>
      <c r="D427" s="161"/>
      <c r="E427" s="161"/>
      <c r="F427" s="161"/>
      <c r="G427" s="161"/>
      <c r="H427" s="161"/>
      <c r="I427" s="161"/>
      <c r="J427" s="161"/>
      <c r="K427" s="161"/>
      <c r="L427" s="161"/>
      <c r="M427" s="161"/>
      <c r="N427" s="161"/>
    </row>
    <row r="428" spans="1:14" x14ac:dyDescent="0.25">
      <c r="A428" s="157" t="s">
        <v>502</v>
      </c>
      <c r="B428" s="160">
        <v>471233.96</v>
      </c>
      <c r="C428" s="160">
        <v>494857.9</v>
      </c>
      <c r="D428" s="160">
        <v>442351.33</v>
      </c>
      <c r="E428" s="160">
        <v>458982.40000000002</v>
      </c>
      <c r="F428" s="160">
        <v>394284.21</v>
      </c>
      <c r="G428" s="160">
        <v>390592.06</v>
      </c>
      <c r="H428" s="160">
        <v>367082.63</v>
      </c>
      <c r="I428" s="160">
        <v>380029.54</v>
      </c>
      <c r="J428" s="160">
        <v>372961.24</v>
      </c>
      <c r="K428" s="160">
        <v>348397.28</v>
      </c>
      <c r="L428" s="160">
        <v>372676.49</v>
      </c>
      <c r="M428" s="160">
        <v>348183.34</v>
      </c>
      <c r="N428" s="160">
        <v>4841632.38</v>
      </c>
    </row>
    <row r="429" spans="1:14" x14ac:dyDescent="0.25">
      <c r="A429" s="157" t="s">
        <v>503</v>
      </c>
      <c r="B429" s="160">
        <v>46804.46</v>
      </c>
      <c r="C429" s="160">
        <v>34348.730000000003</v>
      </c>
      <c r="D429" s="160">
        <v>34801.03</v>
      </c>
      <c r="E429" s="160">
        <v>42650.64</v>
      </c>
      <c r="F429" s="160">
        <v>30587.09</v>
      </c>
      <c r="G429" s="160">
        <v>30682.31</v>
      </c>
      <c r="H429" s="160">
        <v>36505.1</v>
      </c>
      <c r="I429" s="160">
        <v>31153.56</v>
      </c>
      <c r="J429" s="160">
        <v>31959.32</v>
      </c>
      <c r="K429" s="160">
        <v>31804.32</v>
      </c>
      <c r="L429" s="160">
        <v>31721.62</v>
      </c>
      <c r="M429" s="160">
        <v>36144.75</v>
      </c>
      <c r="N429" s="160">
        <v>419162.93</v>
      </c>
    </row>
    <row r="430" spans="1:14" x14ac:dyDescent="0.25">
      <c r="A430" s="157" t="s">
        <v>504</v>
      </c>
      <c r="B430" s="160">
        <v>40289</v>
      </c>
      <c r="C430" s="160">
        <v>33502.879999999997</v>
      </c>
      <c r="D430" s="160">
        <v>17561.97</v>
      </c>
      <c r="E430" s="160">
        <v>27344.799999999999</v>
      </c>
      <c r="F430" s="160">
        <v>22143.75</v>
      </c>
      <c r="G430" s="160">
        <v>31737.119999999999</v>
      </c>
      <c r="H430" s="160">
        <v>21255.63</v>
      </c>
      <c r="I430" s="160">
        <v>37412.85</v>
      </c>
      <c r="J430" s="160">
        <v>23497.31</v>
      </c>
      <c r="K430" s="160">
        <v>31310.63</v>
      </c>
      <c r="L430" s="160">
        <v>23241.37</v>
      </c>
      <c r="M430" s="160">
        <v>40542.71</v>
      </c>
      <c r="N430" s="160">
        <v>349840.02</v>
      </c>
    </row>
    <row r="431" spans="1:14" x14ac:dyDescent="0.25">
      <c r="A431" s="157"/>
      <c r="B431" s="161"/>
      <c r="C431" s="161"/>
      <c r="D431" s="161"/>
      <c r="E431" s="161"/>
      <c r="F431" s="161"/>
      <c r="G431" s="161"/>
      <c r="H431" s="161"/>
      <c r="I431" s="161"/>
      <c r="J431" s="161"/>
      <c r="K431" s="161"/>
      <c r="L431" s="161"/>
      <c r="M431" s="161"/>
      <c r="N431" s="161"/>
    </row>
    <row r="432" spans="1:14" ht="30" x14ac:dyDescent="0.25">
      <c r="A432" s="157" t="s">
        <v>505</v>
      </c>
      <c r="B432" s="160">
        <v>558327.42000000004</v>
      </c>
      <c r="C432" s="160">
        <v>562709.51</v>
      </c>
      <c r="D432" s="160">
        <v>494714.33</v>
      </c>
      <c r="E432" s="160">
        <v>528977.84</v>
      </c>
      <c r="F432" s="160">
        <v>447015.05</v>
      </c>
      <c r="G432" s="160">
        <v>453011.49</v>
      </c>
      <c r="H432" s="160">
        <v>424843.36</v>
      </c>
      <c r="I432" s="160">
        <v>448595.95</v>
      </c>
      <c r="J432" s="160">
        <v>428417.87</v>
      </c>
      <c r="K432" s="160">
        <v>411512.23</v>
      </c>
      <c r="L432" s="160">
        <v>427639.48</v>
      </c>
      <c r="M432" s="160">
        <v>424870.8</v>
      </c>
      <c r="N432" s="160">
        <v>5610635.3300000001</v>
      </c>
    </row>
    <row r="433" spans="1:14" x14ac:dyDescent="0.25">
      <c r="A433" s="157"/>
      <c r="B433" s="161"/>
      <c r="C433" s="161"/>
      <c r="D433" s="161"/>
      <c r="E433" s="161"/>
      <c r="F433" s="161"/>
      <c r="G433" s="161"/>
      <c r="H433" s="161"/>
      <c r="I433" s="161"/>
      <c r="J433" s="161"/>
      <c r="K433" s="161"/>
      <c r="L433" s="161"/>
      <c r="M433" s="161"/>
      <c r="N433" s="161"/>
    </row>
    <row r="434" spans="1:14" x14ac:dyDescent="0.25">
      <c r="A434" s="157"/>
      <c r="B434" s="161"/>
      <c r="C434" s="161"/>
      <c r="D434" s="161"/>
      <c r="E434" s="161"/>
      <c r="F434" s="161"/>
      <c r="G434" s="161"/>
      <c r="H434" s="161"/>
      <c r="I434" s="161"/>
      <c r="J434" s="161"/>
      <c r="K434" s="161"/>
      <c r="L434" s="161"/>
      <c r="M434" s="161"/>
      <c r="N434" s="161"/>
    </row>
    <row r="435" spans="1:14" x14ac:dyDescent="0.25">
      <c r="A435" s="157"/>
      <c r="B435" s="161"/>
      <c r="C435" s="161"/>
      <c r="D435" s="161"/>
      <c r="E435" s="161"/>
      <c r="F435" s="161"/>
      <c r="G435" s="161"/>
      <c r="H435" s="161"/>
      <c r="I435" s="161"/>
      <c r="J435" s="161"/>
      <c r="K435" s="161"/>
      <c r="L435" s="161"/>
      <c r="M435" s="161"/>
      <c r="N435" s="161"/>
    </row>
    <row r="436" spans="1:14" x14ac:dyDescent="0.25">
      <c r="A436" s="157"/>
      <c r="B436" s="161"/>
      <c r="C436" s="161"/>
      <c r="D436" s="161"/>
      <c r="E436" s="161"/>
      <c r="F436" s="161"/>
      <c r="G436" s="161"/>
      <c r="H436" s="161"/>
      <c r="I436" s="161"/>
      <c r="J436" s="161"/>
      <c r="K436" s="161"/>
      <c r="L436" s="161"/>
      <c r="M436" s="161"/>
      <c r="N436" s="161"/>
    </row>
    <row r="437" spans="1:14" x14ac:dyDescent="0.25">
      <c r="A437" s="157"/>
      <c r="B437" s="161"/>
      <c r="C437" s="161"/>
      <c r="D437" s="161"/>
      <c r="E437" s="161"/>
      <c r="F437" s="161"/>
      <c r="G437" s="161"/>
      <c r="H437" s="161"/>
      <c r="I437" s="161"/>
      <c r="J437" s="161"/>
      <c r="K437" s="161"/>
      <c r="L437" s="161"/>
      <c r="M437" s="161"/>
      <c r="N437" s="161"/>
    </row>
    <row r="438" spans="1:14" x14ac:dyDescent="0.25">
      <c r="A438" s="157"/>
      <c r="B438" s="161"/>
      <c r="C438" s="161"/>
      <c r="D438" s="161"/>
      <c r="E438" s="161"/>
      <c r="F438" s="161"/>
      <c r="G438" s="161"/>
      <c r="H438" s="161"/>
      <c r="I438" s="161"/>
      <c r="J438" s="161"/>
      <c r="K438" s="161"/>
      <c r="L438" s="161"/>
      <c r="M438" s="161"/>
      <c r="N438" s="161"/>
    </row>
    <row r="439" spans="1:14" x14ac:dyDescent="0.25">
      <c r="A439" s="157"/>
      <c r="B439" s="161"/>
      <c r="C439" s="161"/>
      <c r="D439" s="161"/>
      <c r="E439" s="161"/>
      <c r="F439" s="161"/>
      <c r="G439" s="161"/>
      <c r="H439" s="161"/>
      <c r="I439" s="161"/>
      <c r="J439" s="161"/>
      <c r="K439" s="161"/>
      <c r="L439" s="161"/>
      <c r="M439" s="161"/>
      <c r="N439" s="161"/>
    </row>
    <row r="440" spans="1:14" x14ac:dyDescent="0.25">
      <c r="A440" s="157"/>
      <c r="B440" s="161"/>
      <c r="C440" s="161"/>
      <c r="D440" s="161"/>
      <c r="E440" s="161"/>
      <c r="F440" s="161"/>
      <c r="G440" s="161"/>
      <c r="H440" s="161"/>
      <c r="I440" s="161"/>
      <c r="J440" s="161"/>
      <c r="K440" s="161"/>
      <c r="L440" s="161"/>
      <c r="M440" s="161"/>
      <c r="N440" s="161"/>
    </row>
    <row r="441" spans="1:14" x14ac:dyDescent="0.25">
      <c r="A441" s="157"/>
      <c r="B441" s="161"/>
      <c r="C441" s="161"/>
      <c r="D441" s="161"/>
      <c r="E441" s="161"/>
      <c r="F441" s="161"/>
      <c r="G441" s="161"/>
      <c r="H441" s="161"/>
      <c r="I441" s="161"/>
      <c r="J441" s="161"/>
      <c r="K441" s="161"/>
      <c r="L441" s="161"/>
      <c r="M441" s="161"/>
      <c r="N441" s="161"/>
    </row>
    <row r="442" spans="1:14" x14ac:dyDescent="0.25">
      <c r="A442" s="157"/>
      <c r="B442" s="161"/>
      <c r="C442" s="161"/>
      <c r="D442" s="161"/>
      <c r="E442" s="161"/>
      <c r="F442" s="161"/>
      <c r="G442" s="161"/>
      <c r="H442" s="161"/>
      <c r="I442" s="161"/>
      <c r="J442" s="161"/>
      <c r="K442" s="161"/>
      <c r="L442" s="161"/>
      <c r="M442" s="161"/>
      <c r="N442" s="161"/>
    </row>
    <row r="443" spans="1:14" x14ac:dyDescent="0.25">
      <c r="A443" s="157"/>
      <c r="B443" s="161"/>
      <c r="C443" s="161"/>
      <c r="D443" s="161"/>
      <c r="E443" s="161"/>
      <c r="F443" s="161"/>
      <c r="G443" s="161"/>
      <c r="H443" s="161"/>
      <c r="I443" s="161"/>
      <c r="J443" s="161"/>
      <c r="K443" s="161"/>
      <c r="L443" s="161"/>
      <c r="M443" s="161"/>
      <c r="N443" s="161"/>
    </row>
    <row r="444" spans="1:14" x14ac:dyDescent="0.25">
      <c r="A444" s="157"/>
      <c r="B444" s="161"/>
      <c r="C444" s="161"/>
      <c r="D444" s="161"/>
      <c r="E444" s="161"/>
      <c r="F444" s="161"/>
      <c r="G444" s="161"/>
      <c r="H444" s="161"/>
      <c r="I444" s="161"/>
      <c r="J444" s="161"/>
      <c r="K444" s="161"/>
      <c r="L444" s="161"/>
      <c r="M444" s="161"/>
      <c r="N444" s="161"/>
    </row>
    <row r="445" spans="1:14" x14ac:dyDescent="0.25">
      <c r="A445" s="157"/>
      <c r="B445" s="161"/>
      <c r="C445" s="161"/>
      <c r="D445" s="161"/>
      <c r="E445" s="161"/>
      <c r="F445" s="161"/>
      <c r="G445" s="161"/>
      <c r="H445" s="161"/>
      <c r="I445" s="161"/>
      <c r="J445" s="161"/>
      <c r="K445" s="161"/>
      <c r="L445" s="161"/>
      <c r="M445" s="161"/>
      <c r="N445" s="161"/>
    </row>
    <row r="446" spans="1:14" x14ac:dyDescent="0.25">
      <c r="A446" s="157"/>
      <c r="B446" s="266"/>
      <c r="C446" s="266"/>
      <c r="D446" s="266"/>
      <c r="E446" s="266"/>
      <c r="F446" s="266"/>
      <c r="G446" s="266"/>
      <c r="H446" s="266"/>
      <c r="I446" s="266"/>
      <c r="J446" s="266"/>
      <c r="K446" s="266"/>
      <c r="L446" s="266"/>
      <c r="M446" s="266"/>
      <c r="N446" s="27"/>
    </row>
    <row r="447" spans="1:14" x14ac:dyDescent="0.25">
      <c r="A447" s="157"/>
      <c r="B447" s="266"/>
      <c r="C447" s="266"/>
      <c r="D447" s="266"/>
      <c r="E447" s="266"/>
      <c r="F447" s="266"/>
      <c r="G447" s="266"/>
      <c r="H447" s="266"/>
      <c r="I447" s="266"/>
      <c r="J447" s="266"/>
      <c r="K447" s="266"/>
      <c r="L447" s="266"/>
      <c r="M447" s="266"/>
      <c r="N447" s="27"/>
    </row>
    <row r="448" spans="1:14" x14ac:dyDescent="0.25">
      <c r="A448" s="157"/>
      <c r="B448" s="266" t="s">
        <v>186</v>
      </c>
      <c r="C448" s="266"/>
      <c r="D448" s="266"/>
      <c r="E448" s="266"/>
      <c r="F448" s="266"/>
      <c r="G448" s="266"/>
      <c r="H448" s="266"/>
      <c r="I448" s="266"/>
      <c r="J448" s="266"/>
      <c r="K448" s="266"/>
      <c r="L448" s="266"/>
      <c r="M448" s="266"/>
      <c r="N448" s="27"/>
    </row>
    <row r="449" spans="1:14" ht="30" x14ac:dyDescent="0.25">
      <c r="A449" s="157" t="s">
        <v>187</v>
      </c>
      <c r="B449" s="266" t="s">
        <v>188</v>
      </c>
      <c r="C449" s="266"/>
      <c r="D449" s="266"/>
      <c r="E449" s="266"/>
      <c r="F449" s="266"/>
      <c r="G449" s="266"/>
      <c r="H449" s="266"/>
      <c r="I449" s="266"/>
      <c r="J449" s="266"/>
      <c r="K449" s="266"/>
      <c r="L449" s="266"/>
      <c r="M449" s="266"/>
      <c r="N449" s="27" t="s">
        <v>189</v>
      </c>
    </row>
  </sheetData>
  <mergeCells count="8">
    <mergeCell ref="B446:M446"/>
    <mergeCell ref="B447:M447"/>
    <mergeCell ref="B448:M448"/>
    <mergeCell ref="B449:M449"/>
    <mergeCell ref="B1:M1"/>
    <mergeCell ref="B2:M2"/>
    <mergeCell ref="B3:M3"/>
    <mergeCell ref="B4:N4"/>
  </mergeCells>
  <pageMargins left="0.25" right="0.25" top="0.75" bottom="0.69999998807907104" header="0.03" footer="0.03"/>
  <pageSetup paperSize="5" scale="85" fitToHeight="0" orientation="landscape" r:id="rId1"/>
  <customProperties>
    <customPr name="EpmWorksheetKeyString_GUID" r:id="rId2"/>
  </customProperties>
  <drawing r:id="rId3"/>
  <legacyDrawing r:id="rId4"/>
  <controls>
    <mc:AlternateContent xmlns:mc="http://schemas.openxmlformats.org/markup-compatibility/2006">
      <mc:Choice Requires="x14">
        <control shapeId="13313" r:id="rId5" name="FPMExcelClientSheetOptionstb1">
          <controlPr defaultSize="0" autoLine="0" autoPict="0" r:id="rId6">
            <anchor moveWithCells="1" sizeWithCells="1">
              <from>
                <xdr:col>0</xdr:col>
                <xdr:colOff>0</xdr:colOff>
                <xdr:row>0</xdr:row>
                <xdr:rowOff>0</xdr:rowOff>
              </from>
              <to>
                <xdr:col>0</xdr:col>
                <xdr:colOff>914400</xdr:colOff>
                <xdr:row>0</xdr:row>
                <xdr:rowOff>0</xdr:rowOff>
              </to>
            </anchor>
          </controlPr>
        </control>
      </mc:Choice>
      <mc:Fallback>
        <control shapeId="13313" r:id="rId5" name="FPMExcelClientSheetOptionstb1"/>
      </mc:Fallback>
    </mc:AlternateContent>
  </control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pageSetUpPr fitToPage="1"/>
  </sheetPr>
  <dimension ref="A1:N357"/>
  <sheetViews>
    <sheetView workbookViewId="0"/>
  </sheetViews>
  <sheetFormatPr defaultColWidth="9.140625" defaultRowHeight="15" x14ac:dyDescent="0.25"/>
  <cols>
    <col min="1" max="1" width="30.7109375" style="29" customWidth="1"/>
    <col min="2" max="14" width="11.85546875" style="29" customWidth="1"/>
    <col min="15" max="16384" width="9.140625" style="29"/>
  </cols>
  <sheetData>
    <row r="1" spans="1:14" x14ac:dyDescent="0.25">
      <c r="A1" s="84" t="s">
        <v>345</v>
      </c>
      <c r="B1" s="268" t="s">
        <v>14</v>
      </c>
      <c r="C1" s="268"/>
      <c r="D1" s="268"/>
      <c r="E1" s="268"/>
      <c r="F1" s="268"/>
      <c r="G1" s="268"/>
      <c r="H1" s="268"/>
      <c r="I1" s="268"/>
      <c r="J1" s="268"/>
      <c r="K1" s="268"/>
      <c r="L1" s="268"/>
      <c r="M1" s="268"/>
    </row>
    <row r="2" spans="1:14" x14ac:dyDescent="0.25">
      <c r="A2" s="84"/>
      <c r="B2" s="268" t="s">
        <v>15</v>
      </c>
      <c r="C2" s="268"/>
      <c r="D2" s="268"/>
      <c r="E2" s="268"/>
      <c r="F2" s="268"/>
      <c r="G2" s="268"/>
      <c r="H2" s="268"/>
      <c r="I2" s="268"/>
      <c r="J2" s="268"/>
      <c r="K2" s="268"/>
      <c r="L2" s="268"/>
      <c r="M2" s="268"/>
    </row>
    <row r="3" spans="1:14" x14ac:dyDescent="0.25">
      <c r="A3" s="85" t="s">
        <v>16</v>
      </c>
      <c r="B3" s="268" t="s">
        <v>346</v>
      </c>
      <c r="C3" s="268"/>
      <c r="D3" s="268"/>
      <c r="E3" s="268"/>
      <c r="F3" s="268"/>
      <c r="G3" s="268"/>
      <c r="H3" s="268"/>
      <c r="I3" s="268"/>
      <c r="J3" s="268"/>
      <c r="K3" s="268"/>
      <c r="L3" s="268"/>
      <c r="M3" s="268"/>
    </row>
    <row r="4" spans="1:14" x14ac:dyDescent="0.25">
      <c r="B4" s="270" t="s">
        <v>17</v>
      </c>
      <c r="C4" s="270"/>
      <c r="D4" s="270"/>
      <c r="E4" s="270"/>
      <c r="F4" s="270"/>
      <c r="G4" s="270"/>
      <c r="H4" s="270"/>
      <c r="I4" s="270"/>
      <c r="J4" s="270"/>
      <c r="K4" s="270"/>
      <c r="L4" s="270"/>
      <c r="M4" s="270"/>
      <c r="N4" s="270"/>
    </row>
    <row r="5" spans="1:14" x14ac:dyDescent="0.25">
      <c r="B5" s="86" t="s">
        <v>18</v>
      </c>
      <c r="C5" s="86" t="s">
        <v>19</v>
      </c>
      <c r="D5" s="86" t="s">
        <v>20</v>
      </c>
      <c r="E5" s="86" t="s">
        <v>21</v>
      </c>
      <c r="F5" s="86" t="s">
        <v>22</v>
      </c>
      <c r="G5" s="86" t="s">
        <v>23</v>
      </c>
      <c r="H5" s="86" t="s">
        <v>200</v>
      </c>
      <c r="I5" s="86" t="s">
        <v>201</v>
      </c>
      <c r="J5" s="86" t="s">
        <v>202</v>
      </c>
      <c r="K5" s="86" t="s">
        <v>347</v>
      </c>
      <c r="L5" s="86" t="s">
        <v>348</v>
      </c>
      <c r="M5" s="86" t="s">
        <v>349</v>
      </c>
      <c r="N5" s="86" t="s">
        <v>24</v>
      </c>
    </row>
    <row r="6" spans="1:14" x14ac:dyDescent="0.25">
      <c r="N6" s="86" t="s">
        <v>25</v>
      </c>
    </row>
    <row r="7" spans="1:14" x14ac:dyDescent="0.25">
      <c r="A7" s="87"/>
      <c r="B7" s="88"/>
      <c r="C7" s="88"/>
      <c r="D7" s="88"/>
      <c r="E7" s="88"/>
      <c r="F7" s="88"/>
      <c r="G7" s="88"/>
      <c r="H7" s="88"/>
      <c r="I7" s="88"/>
      <c r="J7" s="88"/>
      <c r="K7" s="88"/>
      <c r="L7" s="88"/>
      <c r="M7" s="88"/>
      <c r="N7" s="88"/>
    </row>
    <row r="8" spans="1:14" x14ac:dyDescent="0.25">
      <c r="A8" s="87" t="s">
        <v>26</v>
      </c>
      <c r="B8" s="89">
        <v>0.80637335116749997</v>
      </c>
      <c r="C8" s="89">
        <v>0.79637553300990005</v>
      </c>
      <c r="D8" s="89">
        <v>0.78914153990640001</v>
      </c>
      <c r="E8" s="89">
        <v>0.79198030650140006</v>
      </c>
      <c r="F8" s="89">
        <v>0.7971595563678</v>
      </c>
      <c r="G8" s="89">
        <v>0.78378416836230003</v>
      </c>
      <c r="H8" s="89">
        <v>0.78434053815619997</v>
      </c>
      <c r="I8" s="89">
        <v>0.77204490800689995</v>
      </c>
      <c r="J8" s="89">
        <v>0.76604911042489998</v>
      </c>
      <c r="K8" s="89">
        <v>0.75773723977969998</v>
      </c>
      <c r="L8" s="89">
        <v>0.75923844216460001</v>
      </c>
      <c r="M8" s="89">
        <v>0.75332304072930001</v>
      </c>
      <c r="N8" s="89">
        <v>0.77970524076839998</v>
      </c>
    </row>
    <row r="9" spans="1:14" x14ac:dyDescent="0.25">
      <c r="A9" s="87"/>
      <c r="B9" s="88"/>
      <c r="C9" s="88"/>
      <c r="D9" s="88"/>
      <c r="E9" s="88"/>
      <c r="F9" s="88"/>
      <c r="G9" s="88"/>
      <c r="H9" s="88"/>
      <c r="I9" s="88"/>
      <c r="J9" s="88"/>
      <c r="K9" s="88"/>
      <c r="L9" s="88"/>
      <c r="M9" s="88"/>
      <c r="N9" s="88"/>
    </row>
    <row r="10" spans="1:14" x14ac:dyDescent="0.25">
      <c r="A10" s="87" t="s">
        <v>27</v>
      </c>
      <c r="B10" s="90">
        <v>4850</v>
      </c>
      <c r="C10" s="90">
        <v>4850</v>
      </c>
      <c r="D10" s="90">
        <v>4850</v>
      </c>
      <c r="E10" s="90">
        <v>4850</v>
      </c>
      <c r="F10" s="90">
        <v>4850</v>
      </c>
      <c r="G10" s="90">
        <v>4850</v>
      </c>
      <c r="H10" s="90">
        <v>4850</v>
      </c>
      <c r="I10" s="90">
        <v>4850</v>
      </c>
      <c r="J10" s="90">
        <v>4850</v>
      </c>
      <c r="K10" s="90">
        <v>4850</v>
      </c>
      <c r="L10" s="90">
        <v>4850</v>
      </c>
      <c r="M10" s="90">
        <v>4850</v>
      </c>
      <c r="N10" s="90">
        <v>58200</v>
      </c>
    </row>
    <row r="11" spans="1:14" x14ac:dyDescent="0.25">
      <c r="A11" s="87" t="s">
        <v>28</v>
      </c>
      <c r="B11" s="90">
        <v>4534</v>
      </c>
      <c r="C11" s="90">
        <v>4534</v>
      </c>
      <c r="D11" s="90">
        <v>4534</v>
      </c>
      <c r="E11" s="90">
        <v>4534</v>
      </c>
      <c r="F11" s="90">
        <v>4534</v>
      </c>
      <c r="G11" s="90">
        <v>4534</v>
      </c>
      <c r="H11" s="90">
        <v>4534</v>
      </c>
      <c r="I11" s="90">
        <v>4534</v>
      </c>
      <c r="J11" s="90">
        <v>4534</v>
      </c>
      <c r="K11" s="90">
        <v>4534</v>
      </c>
      <c r="L11" s="90">
        <v>4534</v>
      </c>
      <c r="M11" s="90">
        <v>4534</v>
      </c>
      <c r="N11" s="90">
        <v>54408</v>
      </c>
    </row>
    <row r="12" spans="1:14" x14ac:dyDescent="0.25">
      <c r="A12" s="87" t="s">
        <v>350</v>
      </c>
      <c r="B12" s="90">
        <v>0</v>
      </c>
      <c r="C12" s="90">
        <v>0</v>
      </c>
      <c r="D12" s="90">
        <v>0</v>
      </c>
      <c r="E12" s="90">
        <v>17</v>
      </c>
      <c r="F12" s="90">
        <v>17</v>
      </c>
      <c r="G12" s="90">
        <v>17</v>
      </c>
      <c r="H12" s="90">
        <v>17</v>
      </c>
      <c r="I12" s="90">
        <v>17</v>
      </c>
      <c r="J12" s="90">
        <v>17</v>
      </c>
      <c r="K12" s="90">
        <v>17</v>
      </c>
      <c r="L12" s="90">
        <v>17</v>
      </c>
      <c r="M12" s="90">
        <v>17</v>
      </c>
      <c r="N12" s="90">
        <v>153</v>
      </c>
    </row>
    <row r="13" spans="1:14" x14ac:dyDescent="0.25">
      <c r="A13" s="87"/>
      <c r="B13" s="88"/>
      <c r="C13" s="88"/>
      <c r="D13" s="88"/>
      <c r="E13" s="88"/>
      <c r="F13" s="88"/>
      <c r="G13" s="88"/>
      <c r="H13" s="88"/>
      <c r="I13" s="88"/>
      <c r="J13" s="88"/>
      <c r="K13" s="88"/>
      <c r="L13" s="88"/>
      <c r="M13" s="88"/>
      <c r="N13" s="88"/>
    </row>
    <row r="14" spans="1:14" x14ac:dyDescent="0.25">
      <c r="A14" s="91" t="s">
        <v>29</v>
      </c>
      <c r="B14" s="92">
        <v>2138.7096774193546</v>
      </c>
      <c r="C14" s="92">
        <v>2151.8000000000002</v>
      </c>
      <c r="D14" s="92">
        <v>2129.0967741935483</v>
      </c>
      <c r="E14" s="92">
        <v>2068.3548387096776</v>
      </c>
      <c r="F14" s="92">
        <v>2040.3571428571429</v>
      </c>
      <c r="G14" s="92">
        <v>2056.8387096774195</v>
      </c>
      <c r="H14" s="92">
        <v>2031.3333333333333</v>
      </c>
      <c r="I14" s="92">
        <v>2047.3870967741934</v>
      </c>
      <c r="J14" s="92">
        <v>2065.8333333333335</v>
      </c>
      <c r="K14" s="92">
        <v>2078.8064516129034</v>
      </c>
      <c r="L14" s="92">
        <v>2078.8064516129034</v>
      </c>
      <c r="M14" s="92">
        <v>2051.1333333333332</v>
      </c>
      <c r="N14" s="92">
        <v>24942.608219178081</v>
      </c>
    </row>
    <row r="15" spans="1:14" x14ac:dyDescent="0.25">
      <c r="A15" s="91" t="s">
        <v>30</v>
      </c>
      <c r="B15" s="93">
        <v>185.90322580645159</v>
      </c>
      <c r="C15" s="93">
        <v>179.0333333333333</v>
      </c>
      <c r="D15" s="93">
        <v>185.90322580645159</v>
      </c>
      <c r="E15" s="93">
        <v>202.32258064516131</v>
      </c>
      <c r="F15" s="93">
        <v>226.03571428571431</v>
      </c>
      <c r="G15" s="93">
        <v>205.2258064516129</v>
      </c>
      <c r="H15" s="93">
        <v>207.83333333333329</v>
      </c>
      <c r="I15" s="93">
        <v>230.7741935483871</v>
      </c>
      <c r="J15" s="93">
        <v>220.9</v>
      </c>
      <c r="K15" s="93">
        <v>198.54838709677421</v>
      </c>
      <c r="L15" s="93">
        <v>182.54838709677421</v>
      </c>
      <c r="M15" s="93">
        <v>210.4</v>
      </c>
      <c r="N15" s="93">
        <v>2432.9424657534246</v>
      </c>
    </row>
    <row r="16" spans="1:14" x14ac:dyDescent="0.25">
      <c r="A16" s="87" t="s">
        <v>31</v>
      </c>
      <c r="B16" s="92">
        <v>2324.6129032258063</v>
      </c>
      <c r="C16" s="92">
        <v>2330.8333333333335</v>
      </c>
      <c r="D16" s="92">
        <v>2315</v>
      </c>
      <c r="E16" s="92">
        <v>2270.6774193548385</v>
      </c>
      <c r="F16" s="92">
        <v>2266.3928571428569</v>
      </c>
      <c r="G16" s="92">
        <v>2262.0645161290322</v>
      </c>
      <c r="H16" s="92">
        <v>2239.1666666666665</v>
      </c>
      <c r="I16" s="92">
        <v>2278.1612903225805</v>
      </c>
      <c r="J16" s="92">
        <v>2286.7333333333331</v>
      </c>
      <c r="K16" s="92">
        <v>2277.3548387096776</v>
      </c>
      <c r="L16" s="92">
        <v>2261.3548387096776</v>
      </c>
      <c r="M16" s="92">
        <v>2261.5333333333333</v>
      </c>
      <c r="N16" s="92">
        <v>27375.550684931506</v>
      </c>
    </row>
    <row r="17" spans="1:14" x14ac:dyDescent="0.25">
      <c r="A17" s="87" t="s">
        <v>32</v>
      </c>
      <c r="B17" s="92">
        <v>13.741935483871</v>
      </c>
      <c r="C17" s="92">
        <v>13.9333333333333</v>
      </c>
      <c r="D17" s="92">
        <v>14.2258064516129</v>
      </c>
      <c r="E17" s="92">
        <v>13.4838709677419</v>
      </c>
      <c r="F17" s="92">
        <v>13.4285714285714</v>
      </c>
      <c r="G17" s="92">
        <v>0</v>
      </c>
      <c r="H17" s="92">
        <v>0</v>
      </c>
      <c r="I17" s="92">
        <v>15.419354838709699</v>
      </c>
      <c r="J17" s="92">
        <v>15.1</v>
      </c>
      <c r="K17" s="92">
        <v>14.3870967741935</v>
      </c>
      <c r="L17" s="92">
        <v>14.9677419354839</v>
      </c>
      <c r="M17" s="92">
        <v>16.2</v>
      </c>
      <c r="N17" s="92">
        <v>144.8547945205479</v>
      </c>
    </row>
    <row r="18" spans="1:14" x14ac:dyDescent="0.25">
      <c r="A18" s="87" t="s">
        <v>33</v>
      </c>
      <c r="B18" s="92">
        <v>436.67741935483872</v>
      </c>
      <c r="C18" s="92">
        <v>398.83333333333331</v>
      </c>
      <c r="D18" s="92">
        <v>391.61290322580652</v>
      </c>
      <c r="E18" s="92">
        <v>408.90322580645159</v>
      </c>
      <c r="F18" s="92">
        <v>445.5</v>
      </c>
      <c r="G18" s="92">
        <v>411.77419354838707</v>
      </c>
      <c r="H18" s="92">
        <v>401.6</v>
      </c>
      <c r="I18" s="92">
        <v>347</v>
      </c>
      <c r="J18" s="92">
        <v>337.2</v>
      </c>
      <c r="K18" s="92">
        <v>322.67741935483872</v>
      </c>
      <c r="L18" s="92">
        <v>330.90322580645159</v>
      </c>
      <c r="M18" s="92">
        <v>335.13333333333333</v>
      </c>
      <c r="N18" s="92">
        <v>4563.0575342465754</v>
      </c>
    </row>
    <row r="19" spans="1:14" x14ac:dyDescent="0.25">
      <c r="A19" s="87" t="s">
        <v>34</v>
      </c>
      <c r="B19" s="92">
        <v>182.61290322580649</v>
      </c>
      <c r="C19" s="92">
        <v>189.33333333333329</v>
      </c>
      <c r="D19" s="92">
        <v>185.7741935483871</v>
      </c>
      <c r="E19" s="92">
        <v>232</v>
      </c>
      <c r="F19" s="92">
        <v>228.60714285714289</v>
      </c>
      <c r="G19" s="92">
        <v>209.8064516129032</v>
      </c>
      <c r="H19" s="92">
        <v>225.93333333333331</v>
      </c>
      <c r="I19" s="92">
        <v>203.06451612903231</v>
      </c>
      <c r="J19" s="92">
        <v>189.3666666666667</v>
      </c>
      <c r="K19" s="92">
        <v>183.09677419354841</v>
      </c>
      <c r="L19" s="92">
        <v>200.64516129032259</v>
      </c>
      <c r="M19" s="92">
        <v>194.23333333333329</v>
      </c>
      <c r="N19" s="92">
        <v>2422.158904109589</v>
      </c>
    </row>
    <row r="20" spans="1:14" x14ac:dyDescent="0.25">
      <c r="A20" s="87" t="s">
        <v>35</v>
      </c>
      <c r="B20" s="92">
        <v>366.19354838709683</v>
      </c>
      <c r="C20" s="92">
        <v>363.83333333333331</v>
      </c>
      <c r="D20" s="92">
        <v>364.48387096774189</v>
      </c>
      <c r="E20" s="92">
        <v>355.67741935483872</v>
      </c>
      <c r="F20" s="92">
        <v>359.96428571428572</v>
      </c>
      <c r="G20" s="92">
        <v>360.77419354838707</v>
      </c>
      <c r="H20" s="92">
        <v>365.13333333333333</v>
      </c>
      <c r="I20" s="92">
        <v>354.38709677419348</v>
      </c>
      <c r="J20" s="92">
        <v>349.3</v>
      </c>
      <c r="K20" s="92">
        <v>342.90322580645159</v>
      </c>
      <c r="L20" s="92">
        <v>332.45161290322579</v>
      </c>
      <c r="M20" s="92">
        <v>311.2</v>
      </c>
      <c r="N20" s="92">
        <v>4226.1698630136989</v>
      </c>
    </row>
    <row r="21" spans="1:14" x14ac:dyDescent="0.25">
      <c r="A21" s="87" t="s">
        <v>36</v>
      </c>
      <c r="B21" s="92">
        <v>136.61290322580649</v>
      </c>
      <c r="C21" s="92">
        <v>133</v>
      </c>
      <c r="D21" s="92">
        <v>131.8064516129032</v>
      </c>
      <c r="E21" s="92">
        <v>134.48387096774189</v>
      </c>
      <c r="F21" s="92">
        <v>132.17857142857139</v>
      </c>
      <c r="G21" s="92">
        <v>137.7741935483871</v>
      </c>
      <c r="H21" s="92">
        <v>142.4</v>
      </c>
      <c r="I21" s="92">
        <v>121.48387096774189</v>
      </c>
      <c r="J21" s="92">
        <v>113.1</v>
      </c>
      <c r="K21" s="92">
        <v>111.3225806451613</v>
      </c>
      <c r="L21" s="92">
        <v>111.9032258064516</v>
      </c>
      <c r="M21" s="92">
        <v>111.26666666666669</v>
      </c>
      <c r="N21" s="92">
        <v>1516.9643835616439</v>
      </c>
    </row>
    <row r="22" spans="1:14" x14ac:dyDescent="0.25">
      <c r="A22" s="87" t="s">
        <v>37</v>
      </c>
      <c r="B22" s="93">
        <v>187.61290322580649</v>
      </c>
      <c r="C22" s="93">
        <v>172.0333333333333</v>
      </c>
      <c r="D22" s="93">
        <v>163.7741935483871</v>
      </c>
      <c r="E22" s="93">
        <v>161.87096774193549</v>
      </c>
      <c r="F22" s="93">
        <v>161.67857142857139</v>
      </c>
      <c r="G22" s="93">
        <v>163.70967741935479</v>
      </c>
      <c r="H22" s="93">
        <v>173.93333333333331</v>
      </c>
      <c r="I22" s="93">
        <v>173.12903225806451</v>
      </c>
      <c r="J22" s="93">
        <v>171.43333333333331</v>
      </c>
      <c r="K22" s="93">
        <v>174.9677419354839</v>
      </c>
      <c r="L22" s="93">
        <v>179.67741935483869</v>
      </c>
      <c r="M22" s="93">
        <v>176.8666666666667</v>
      </c>
      <c r="N22" s="93">
        <v>2061.4356164383562</v>
      </c>
    </row>
    <row r="23" spans="1:14" x14ac:dyDescent="0.25">
      <c r="A23" s="94" t="s">
        <v>38</v>
      </c>
      <c r="B23" s="95">
        <v>3656.0967741935483</v>
      </c>
      <c r="C23" s="95">
        <v>3610.7666666666669</v>
      </c>
      <c r="D23" s="95">
        <v>3577.9677419354839</v>
      </c>
      <c r="E23" s="95">
        <v>3590.8387096774195</v>
      </c>
      <c r="F23" s="95">
        <v>3614.3214285714284</v>
      </c>
      <c r="G23" s="95">
        <v>3553.6774193548385</v>
      </c>
      <c r="H23" s="95">
        <v>3556.2</v>
      </c>
      <c r="I23" s="95">
        <v>3500.4516129032259</v>
      </c>
      <c r="J23" s="95">
        <v>3473.2666666666669</v>
      </c>
      <c r="K23" s="95">
        <v>3435.5806451612902</v>
      </c>
      <c r="L23" s="95">
        <v>3442.3870967741937</v>
      </c>
      <c r="M23" s="95">
        <v>3415.5666666666666</v>
      </c>
      <c r="N23" s="95">
        <v>42422.202739726024</v>
      </c>
    </row>
    <row r="24" spans="1:14" x14ac:dyDescent="0.25">
      <c r="A24" s="87"/>
      <c r="B24" s="88"/>
      <c r="C24" s="88"/>
      <c r="D24" s="88"/>
      <c r="E24" s="88"/>
      <c r="F24" s="88"/>
      <c r="G24" s="88"/>
      <c r="H24" s="88"/>
      <c r="I24" s="88"/>
      <c r="J24" s="88"/>
      <c r="K24" s="88"/>
      <c r="L24" s="88"/>
      <c r="M24" s="88"/>
      <c r="N24" s="88"/>
    </row>
    <row r="25" spans="1:14" x14ac:dyDescent="0.25">
      <c r="A25" s="91" t="s">
        <v>39</v>
      </c>
      <c r="B25" s="90">
        <v>66300</v>
      </c>
      <c r="C25" s="90">
        <v>64554</v>
      </c>
      <c r="D25" s="90">
        <v>66002</v>
      </c>
      <c r="E25" s="90">
        <v>64119</v>
      </c>
      <c r="F25" s="90">
        <v>57130</v>
      </c>
      <c r="G25" s="90">
        <v>63762</v>
      </c>
      <c r="H25" s="90">
        <v>60940</v>
      </c>
      <c r="I25" s="90">
        <v>63469</v>
      </c>
      <c r="J25" s="90">
        <v>61975</v>
      </c>
      <c r="K25" s="90">
        <v>64443</v>
      </c>
      <c r="L25" s="90">
        <v>64443</v>
      </c>
      <c r="M25" s="90">
        <v>61534</v>
      </c>
      <c r="N25" s="90">
        <v>758671</v>
      </c>
    </row>
    <row r="26" spans="1:14" x14ac:dyDescent="0.25">
      <c r="A26" s="91" t="s">
        <v>40</v>
      </c>
      <c r="B26" s="96">
        <v>5763</v>
      </c>
      <c r="C26" s="96">
        <v>5371</v>
      </c>
      <c r="D26" s="96">
        <v>5763</v>
      </c>
      <c r="E26" s="96">
        <v>6272</v>
      </c>
      <c r="F26" s="96">
        <v>6329</v>
      </c>
      <c r="G26" s="96">
        <v>6362</v>
      </c>
      <c r="H26" s="96">
        <v>6235</v>
      </c>
      <c r="I26" s="96">
        <v>7154</v>
      </c>
      <c r="J26" s="96">
        <v>6627</v>
      </c>
      <c r="K26" s="96">
        <v>6155</v>
      </c>
      <c r="L26" s="96">
        <v>5659</v>
      </c>
      <c r="M26" s="96">
        <v>6312</v>
      </c>
      <c r="N26" s="96">
        <v>74002</v>
      </c>
    </row>
    <row r="27" spans="1:14" x14ac:dyDescent="0.25">
      <c r="A27" s="87" t="s">
        <v>41</v>
      </c>
      <c r="B27" s="90">
        <v>72063</v>
      </c>
      <c r="C27" s="90">
        <v>69925</v>
      </c>
      <c r="D27" s="90">
        <v>71765</v>
      </c>
      <c r="E27" s="90">
        <v>70391</v>
      </c>
      <c r="F27" s="90">
        <v>63459</v>
      </c>
      <c r="G27" s="90">
        <v>70124</v>
      </c>
      <c r="H27" s="90">
        <v>67175</v>
      </c>
      <c r="I27" s="90">
        <v>70623</v>
      </c>
      <c r="J27" s="90">
        <v>68602</v>
      </c>
      <c r="K27" s="90">
        <v>70598</v>
      </c>
      <c r="L27" s="90">
        <v>70102</v>
      </c>
      <c r="M27" s="90">
        <v>67846</v>
      </c>
      <c r="N27" s="90">
        <v>832673</v>
      </c>
    </row>
    <row r="28" spans="1:14" x14ac:dyDescent="0.25">
      <c r="A28" s="87" t="s">
        <v>42</v>
      </c>
      <c r="B28" s="90">
        <v>426</v>
      </c>
      <c r="C28" s="90">
        <v>418</v>
      </c>
      <c r="D28" s="90">
        <v>441</v>
      </c>
      <c r="E28" s="90">
        <v>418</v>
      </c>
      <c r="F28" s="90">
        <v>376</v>
      </c>
      <c r="G28" s="90">
        <v>0</v>
      </c>
      <c r="H28" s="90">
        <v>0</v>
      </c>
      <c r="I28" s="90">
        <v>478</v>
      </c>
      <c r="J28" s="90">
        <v>453</v>
      </c>
      <c r="K28" s="90">
        <v>446</v>
      </c>
      <c r="L28" s="90">
        <v>464</v>
      </c>
      <c r="M28" s="90">
        <v>486</v>
      </c>
      <c r="N28" s="90">
        <v>4406</v>
      </c>
    </row>
    <row r="29" spans="1:14" x14ac:dyDescent="0.25">
      <c r="A29" s="87" t="s">
        <v>43</v>
      </c>
      <c r="B29" s="90">
        <v>13537</v>
      </c>
      <c r="C29" s="90">
        <v>11965</v>
      </c>
      <c r="D29" s="90">
        <v>12140</v>
      </c>
      <c r="E29" s="90">
        <v>12676</v>
      </c>
      <c r="F29" s="90">
        <v>12474</v>
      </c>
      <c r="G29" s="90">
        <v>12765</v>
      </c>
      <c r="H29" s="90">
        <v>12048</v>
      </c>
      <c r="I29" s="90">
        <v>10757</v>
      </c>
      <c r="J29" s="90">
        <v>10116</v>
      </c>
      <c r="K29" s="90">
        <v>10003</v>
      </c>
      <c r="L29" s="90">
        <v>10258</v>
      </c>
      <c r="M29" s="90">
        <v>10054</v>
      </c>
      <c r="N29" s="90">
        <v>138793</v>
      </c>
    </row>
    <row r="30" spans="1:14" x14ac:dyDescent="0.25">
      <c r="A30" s="87" t="s">
        <v>44</v>
      </c>
      <c r="B30" s="90">
        <v>5661</v>
      </c>
      <c r="C30" s="90">
        <v>5680</v>
      </c>
      <c r="D30" s="90">
        <v>5759</v>
      </c>
      <c r="E30" s="90">
        <v>7192</v>
      </c>
      <c r="F30" s="90">
        <v>6401</v>
      </c>
      <c r="G30" s="90">
        <v>6504</v>
      </c>
      <c r="H30" s="90">
        <v>6778</v>
      </c>
      <c r="I30" s="90">
        <v>6295</v>
      </c>
      <c r="J30" s="90">
        <v>5681</v>
      </c>
      <c r="K30" s="90">
        <v>5676</v>
      </c>
      <c r="L30" s="90">
        <v>6220</v>
      </c>
      <c r="M30" s="90">
        <v>5827</v>
      </c>
      <c r="N30" s="90">
        <v>73674</v>
      </c>
    </row>
    <row r="31" spans="1:14" x14ac:dyDescent="0.25">
      <c r="A31" s="87" t="s">
        <v>45</v>
      </c>
      <c r="B31" s="90">
        <v>11352</v>
      </c>
      <c r="C31" s="90">
        <v>10915</v>
      </c>
      <c r="D31" s="90">
        <v>11299</v>
      </c>
      <c r="E31" s="90">
        <v>11026</v>
      </c>
      <c r="F31" s="90">
        <v>10079</v>
      </c>
      <c r="G31" s="90">
        <v>11184</v>
      </c>
      <c r="H31" s="90">
        <v>10954</v>
      </c>
      <c r="I31" s="90">
        <v>10986</v>
      </c>
      <c r="J31" s="90">
        <v>10479</v>
      </c>
      <c r="K31" s="90">
        <v>10630</v>
      </c>
      <c r="L31" s="90">
        <v>10306</v>
      </c>
      <c r="M31" s="90">
        <v>9336</v>
      </c>
      <c r="N31" s="90">
        <v>128546</v>
      </c>
    </row>
    <row r="32" spans="1:14" x14ac:dyDescent="0.25">
      <c r="A32" s="87" t="s">
        <v>46</v>
      </c>
      <c r="B32" s="90">
        <v>4235</v>
      </c>
      <c r="C32" s="90">
        <v>3990</v>
      </c>
      <c r="D32" s="90">
        <v>4086</v>
      </c>
      <c r="E32" s="90">
        <v>4169</v>
      </c>
      <c r="F32" s="90">
        <v>3701</v>
      </c>
      <c r="G32" s="90">
        <v>4271</v>
      </c>
      <c r="H32" s="90">
        <v>4272</v>
      </c>
      <c r="I32" s="90">
        <v>3766</v>
      </c>
      <c r="J32" s="90">
        <v>3393</v>
      </c>
      <c r="K32" s="90">
        <v>3451</v>
      </c>
      <c r="L32" s="90">
        <v>3469</v>
      </c>
      <c r="M32" s="90">
        <v>3338</v>
      </c>
      <c r="N32" s="90">
        <v>46141</v>
      </c>
    </row>
    <row r="33" spans="1:14" x14ac:dyDescent="0.25">
      <c r="A33" s="87" t="s">
        <v>47</v>
      </c>
      <c r="B33" s="90">
        <v>5816</v>
      </c>
      <c r="C33" s="90">
        <v>5161</v>
      </c>
      <c r="D33" s="90">
        <v>5077</v>
      </c>
      <c r="E33" s="90">
        <v>5018</v>
      </c>
      <c r="F33" s="90">
        <v>4527</v>
      </c>
      <c r="G33" s="90">
        <v>5075</v>
      </c>
      <c r="H33" s="90">
        <v>5218</v>
      </c>
      <c r="I33" s="90">
        <v>5367</v>
      </c>
      <c r="J33" s="90">
        <v>5143</v>
      </c>
      <c r="K33" s="90">
        <v>5424</v>
      </c>
      <c r="L33" s="90">
        <v>5570</v>
      </c>
      <c r="M33" s="90">
        <v>5306</v>
      </c>
      <c r="N33" s="90">
        <v>62702</v>
      </c>
    </row>
    <row r="34" spans="1:14" x14ac:dyDescent="0.25">
      <c r="A34" s="87" t="s">
        <v>48</v>
      </c>
      <c r="B34" s="90">
        <v>249</v>
      </c>
      <c r="C34" s="90">
        <v>269</v>
      </c>
      <c r="D34" s="90">
        <v>350</v>
      </c>
      <c r="E34" s="90">
        <v>426</v>
      </c>
      <c r="F34" s="90">
        <v>184</v>
      </c>
      <c r="G34" s="90">
        <v>241</v>
      </c>
      <c r="H34" s="90">
        <v>241</v>
      </c>
      <c r="I34" s="90">
        <v>242</v>
      </c>
      <c r="J34" s="90">
        <v>331</v>
      </c>
      <c r="K34" s="90">
        <v>275</v>
      </c>
      <c r="L34" s="90">
        <v>325</v>
      </c>
      <c r="M34" s="90">
        <v>274</v>
      </c>
      <c r="N34" s="90">
        <v>3407</v>
      </c>
    </row>
    <row r="35" spans="1:14" x14ac:dyDescent="0.25">
      <c r="A35" s="87" t="s">
        <v>49</v>
      </c>
      <c r="B35" s="90">
        <v>-2431</v>
      </c>
      <c r="C35" s="90">
        <v>-2206</v>
      </c>
      <c r="D35" s="90">
        <v>-2851</v>
      </c>
      <c r="E35" s="90">
        <v>-1295</v>
      </c>
      <c r="F35" s="90">
        <v>-1532</v>
      </c>
      <c r="G35" s="90">
        <v>-2524</v>
      </c>
      <c r="H35" s="90">
        <v>-5847</v>
      </c>
      <c r="I35" s="90">
        <v>-1219</v>
      </c>
      <c r="J35" s="90">
        <v>-1840</v>
      </c>
      <c r="K35" s="90">
        <v>-2588</v>
      </c>
      <c r="L35" s="90">
        <v>-1753</v>
      </c>
      <c r="M35" s="90">
        <v>-237</v>
      </c>
      <c r="N35" s="90">
        <v>-26323</v>
      </c>
    </row>
    <row r="36" spans="1:14" x14ac:dyDescent="0.25">
      <c r="A36" s="87" t="s">
        <v>50</v>
      </c>
      <c r="B36" s="90">
        <v>-165</v>
      </c>
      <c r="C36" s="90">
        <v>7</v>
      </c>
      <c r="D36" s="90">
        <v>-112</v>
      </c>
      <c r="E36" s="90">
        <v>-233</v>
      </c>
      <c r="F36" s="90">
        <v>-181</v>
      </c>
      <c r="G36" s="90">
        <v>-147</v>
      </c>
      <c r="H36" s="90">
        <v>-110</v>
      </c>
      <c r="I36" s="90">
        <v>-301</v>
      </c>
      <c r="J36" s="90">
        <v>-288</v>
      </c>
      <c r="K36" s="90">
        <v>-78</v>
      </c>
      <c r="L36" s="90">
        <v>-205</v>
      </c>
      <c r="M36" s="90">
        <v>12</v>
      </c>
      <c r="N36" s="90">
        <v>-1801</v>
      </c>
    </row>
    <row r="37" spans="1:14" x14ac:dyDescent="0.25">
      <c r="A37" s="87" t="s">
        <v>51</v>
      </c>
      <c r="B37" s="90">
        <v>1120</v>
      </c>
      <c r="C37" s="90">
        <v>2437</v>
      </c>
      <c r="D37" s="90">
        <v>1935</v>
      </c>
      <c r="E37" s="90">
        <v>156</v>
      </c>
      <c r="F37" s="90">
        <v>969</v>
      </c>
      <c r="G37" s="90">
        <v>2237</v>
      </c>
      <c r="H37" s="90">
        <v>5657</v>
      </c>
      <c r="I37" s="90">
        <v>1647</v>
      </c>
      <c r="J37" s="90">
        <v>1881</v>
      </c>
      <c r="K37" s="90">
        <v>2301</v>
      </c>
      <c r="L37" s="90">
        <v>1010</v>
      </c>
      <c r="M37" s="90">
        <v>33</v>
      </c>
      <c r="N37" s="90">
        <v>21383</v>
      </c>
    </row>
    <row r="38" spans="1:14" x14ac:dyDescent="0.25">
      <c r="A38" s="87" t="s">
        <v>52</v>
      </c>
      <c r="B38" s="90">
        <v>-56</v>
      </c>
      <c r="C38" s="90">
        <v>-164</v>
      </c>
      <c r="D38" s="90">
        <v>130</v>
      </c>
      <c r="E38" s="90">
        <v>99</v>
      </c>
      <c r="F38" s="90">
        <v>-35</v>
      </c>
      <c r="G38" s="90">
        <v>134</v>
      </c>
      <c r="H38" s="90">
        <v>68</v>
      </c>
      <c r="I38" s="90">
        <v>-329</v>
      </c>
      <c r="J38" s="90">
        <v>-78</v>
      </c>
      <c r="K38" s="90">
        <v>-96</v>
      </c>
      <c r="L38" s="90">
        <v>0</v>
      </c>
      <c r="M38" s="90">
        <v>75</v>
      </c>
      <c r="N38" s="90">
        <v>-252</v>
      </c>
    </row>
    <row r="39" spans="1:14" ht="23.25" x14ac:dyDescent="0.25">
      <c r="A39" s="87" t="s">
        <v>53</v>
      </c>
      <c r="B39" s="96">
        <v>1445</v>
      </c>
      <c r="C39" s="96">
        <v>-74</v>
      </c>
      <c r="D39" s="96">
        <v>570</v>
      </c>
      <c r="E39" s="96">
        <v>1031</v>
      </c>
      <c r="F39" s="96">
        <v>681</v>
      </c>
      <c r="G39" s="96">
        <v>285</v>
      </c>
      <c r="H39" s="96">
        <v>466</v>
      </c>
      <c r="I39" s="96">
        <v>138</v>
      </c>
      <c r="J39" s="96">
        <v>374</v>
      </c>
      <c r="K39" s="96">
        <v>438</v>
      </c>
      <c r="L39" s="96">
        <v>943</v>
      </c>
      <c r="M39" s="96">
        <v>93</v>
      </c>
      <c r="N39" s="96">
        <v>6390</v>
      </c>
    </row>
    <row r="40" spans="1:14" ht="15.75" thickBot="1" x14ac:dyDescent="0.3">
      <c r="A40" s="94" t="s">
        <v>54</v>
      </c>
      <c r="B40" s="97">
        <v>113339</v>
      </c>
      <c r="C40" s="97">
        <v>108323</v>
      </c>
      <c r="D40" s="97">
        <v>110917</v>
      </c>
      <c r="E40" s="97">
        <v>111316</v>
      </c>
      <c r="F40" s="97">
        <v>101201</v>
      </c>
      <c r="G40" s="97">
        <v>110164</v>
      </c>
      <c r="H40" s="97">
        <v>106686</v>
      </c>
      <c r="I40" s="97">
        <v>108514</v>
      </c>
      <c r="J40" s="97">
        <v>104198</v>
      </c>
      <c r="K40" s="97">
        <v>106503</v>
      </c>
      <c r="L40" s="97">
        <v>106714</v>
      </c>
      <c r="M40" s="97">
        <v>102467</v>
      </c>
      <c r="N40" s="97">
        <v>1290342</v>
      </c>
    </row>
    <row r="41" spans="1:14" ht="15.75" thickTop="1" x14ac:dyDescent="0.25">
      <c r="A41" s="87"/>
      <c r="B41" s="88"/>
      <c r="C41" s="88"/>
      <c r="D41" s="88"/>
      <c r="E41" s="88"/>
      <c r="F41" s="88"/>
      <c r="G41" s="88"/>
      <c r="H41" s="88"/>
      <c r="I41" s="88"/>
      <c r="J41" s="88"/>
      <c r="K41" s="88"/>
      <c r="L41" s="88"/>
      <c r="M41" s="88"/>
      <c r="N41" s="88"/>
    </row>
    <row r="42" spans="1:14" x14ac:dyDescent="0.25">
      <c r="A42" s="98" t="s">
        <v>55</v>
      </c>
      <c r="B42" s="99">
        <v>0.16938564836459999</v>
      </c>
      <c r="C42" s="99">
        <v>0.1628924605116</v>
      </c>
      <c r="D42" s="99">
        <v>0.1613729184886</v>
      </c>
      <c r="E42" s="99">
        <v>0.17848287757379999</v>
      </c>
      <c r="F42" s="99">
        <v>0.1865100147232</v>
      </c>
      <c r="G42" s="99">
        <v>0.17491194945720001</v>
      </c>
      <c r="H42" s="99">
        <v>0.17646176630489999</v>
      </c>
      <c r="I42" s="99">
        <v>0.15714101406270001</v>
      </c>
      <c r="J42" s="99">
        <v>0.1516055970364</v>
      </c>
      <c r="K42" s="99">
        <v>0.14721651033300001</v>
      </c>
      <c r="L42" s="99">
        <v>0.15441272935139999</v>
      </c>
      <c r="M42" s="99">
        <v>0.15498648345320001</v>
      </c>
      <c r="N42" s="100">
        <v>0.16465944687529999</v>
      </c>
    </row>
    <row r="43" spans="1:14" x14ac:dyDescent="0.25">
      <c r="A43" s="87"/>
      <c r="B43" s="88"/>
      <c r="C43" s="88"/>
      <c r="D43" s="88"/>
      <c r="E43" s="88"/>
      <c r="F43" s="88"/>
      <c r="G43" s="88"/>
      <c r="H43" s="88"/>
      <c r="I43" s="88"/>
      <c r="J43" s="88"/>
      <c r="K43" s="88"/>
      <c r="L43" s="88"/>
      <c r="M43" s="88"/>
      <c r="N43" s="88"/>
    </row>
    <row r="44" spans="1:14" x14ac:dyDescent="0.25">
      <c r="A44" s="94" t="s">
        <v>56</v>
      </c>
      <c r="B44" s="101"/>
      <c r="C44" s="101"/>
      <c r="D44" s="101"/>
      <c r="E44" s="101"/>
      <c r="F44" s="101"/>
      <c r="G44" s="101"/>
      <c r="H44" s="101"/>
      <c r="I44" s="101"/>
      <c r="J44" s="101"/>
      <c r="K44" s="101"/>
      <c r="L44" s="101"/>
      <c r="M44" s="101"/>
      <c r="N44" s="101"/>
    </row>
    <row r="45" spans="1:14" x14ac:dyDescent="0.25">
      <c r="A45" s="87"/>
      <c r="B45" s="88"/>
      <c r="C45" s="88"/>
      <c r="D45" s="88"/>
      <c r="E45" s="88"/>
      <c r="F45" s="88"/>
      <c r="G45" s="88"/>
      <c r="H45" s="88"/>
      <c r="I45" s="88"/>
      <c r="J45" s="88"/>
      <c r="K45" s="88"/>
      <c r="L45" s="88"/>
      <c r="M45" s="88"/>
      <c r="N45" s="88"/>
    </row>
    <row r="46" spans="1:14" x14ac:dyDescent="0.25">
      <c r="A46" s="87" t="s">
        <v>57</v>
      </c>
      <c r="B46" s="90">
        <v>12103799.01</v>
      </c>
      <c r="C46" s="90">
        <v>11712544.84</v>
      </c>
      <c r="D46" s="90">
        <v>11980081.619999999</v>
      </c>
      <c r="E46" s="90">
        <v>11702866.890000001</v>
      </c>
      <c r="F46" s="90">
        <v>10542823.42</v>
      </c>
      <c r="G46" s="90">
        <v>11711482.789999999</v>
      </c>
      <c r="H46" s="90">
        <v>11264173.199999999</v>
      </c>
      <c r="I46" s="90">
        <v>11837752.08</v>
      </c>
      <c r="J46" s="90">
        <v>11487734.310000001</v>
      </c>
      <c r="K46" s="90">
        <v>12071440.859999999</v>
      </c>
      <c r="L46" s="90">
        <v>12034349.98</v>
      </c>
      <c r="M46" s="90">
        <v>11647119.640000001</v>
      </c>
      <c r="N46" s="90">
        <v>140096168.63999999</v>
      </c>
    </row>
    <row r="47" spans="1:14" x14ac:dyDescent="0.25">
      <c r="A47" s="87" t="s">
        <v>58</v>
      </c>
      <c r="B47" s="90">
        <v>25030.75</v>
      </c>
      <c r="C47" s="90">
        <v>40957.629999999997</v>
      </c>
      <c r="D47" s="90">
        <v>43437.53</v>
      </c>
      <c r="E47" s="90">
        <v>42254.54</v>
      </c>
      <c r="F47" s="90">
        <v>39972.89</v>
      </c>
      <c r="G47" s="90">
        <v>35528.53</v>
      </c>
      <c r="H47" s="90">
        <v>43324.88</v>
      </c>
      <c r="I47" s="90">
        <v>60536.22</v>
      </c>
      <c r="J47" s="90">
        <v>59215.76</v>
      </c>
      <c r="K47" s="90">
        <v>71788.05</v>
      </c>
      <c r="L47" s="90">
        <v>70067.210000000006</v>
      </c>
      <c r="M47" s="90">
        <v>71245.78</v>
      </c>
      <c r="N47" s="90">
        <v>603359.77</v>
      </c>
    </row>
    <row r="48" spans="1:14" x14ac:dyDescent="0.25">
      <c r="A48" s="87" t="s">
        <v>59</v>
      </c>
      <c r="B48" s="90">
        <v>47529.87</v>
      </c>
      <c r="C48" s="90">
        <v>47532.67</v>
      </c>
      <c r="D48" s="90">
        <v>47739.55</v>
      </c>
      <c r="E48" s="90">
        <v>45189.58</v>
      </c>
      <c r="F48" s="90">
        <v>44917</v>
      </c>
      <c r="G48" s="90">
        <v>44917</v>
      </c>
      <c r="H48" s="90">
        <v>47766.83</v>
      </c>
      <c r="I48" s="90">
        <v>31288.92</v>
      </c>
      <c r="J48" s="90">
        <v>36837.160000000003</v>
      </c>
      <c r="K48" s="90">
        <v>32938.800000000003</v>
      </c>
      <c r="L48" s="90">
        <v>34222.230000000003</v>
      </c>
      <c r="M48" s="90">
        <v>37099.269999999997</v>
      </c>
      <c r="N48" s="90">
        <v>497978.88</v>
      </c>
    </row>
    <row r="49" spans="1:14" x14ac:dyDescent="0.25">
      <c r="A49" s="87" t="s">
        <v>60</v>
      </c>
      <c r="B49" s="90">
        <v>6861921.2300000004</v>
      </c>
      <c r="C49" s="90">
        <v>6046294.7999999998</v>
      </c>
      <c r="D49" s="90">
        <v>6137088.4299999997</v>
      </c>
      <c r="E49" s="90">
        <v>6426787.29</v>
      </c>
      <c r="F49" s="90">
        <v>6333743.0199999996</v>
      </c>
      <c r="G49" s="90">
        <v>6382383.2800000003</v>
      </c>
      <c r="H49" s="90">
        <v>6063919.9199999999</v>
      </c>
      <c r="I49" s="90">
        <v>5348660.33</v>
      </c>
      <c r="J49" s="90">
        <v>5115143.8</v>
      </c>
      <c r="K49" s="90">
        <v>5127370.9800000004</v>
      </c>
      <c r="L49" s="90">
        <v>5214785.5</v>
      </c>
      <c r="M49" s="90">
        <v>5081256.5999999996</v>
      </c>
      <c r="N49" s="90">
        <v>70139355.180000007</v>
      </c>
    </row>
    <row r="50" spans="1:14" x14ac:dyDescent="0.25">
      <c r="A50" s="87" t="s">
        <v>61</v>
      </c>
      <c r="B50" s="90">
        <v>1599676.57</v>
      </c>
      <c r="C50" s="90">
        <v>1594002.56</v>
      </c>
      <c r="D50" s="90">
        <v>1450466.83</v>
      </c>
      <c r="E50" s="90">
        <v>1482485.1</v>
      </c>
      <c r="F50" s="90">
        <v>1097839.9099999999</v>
      </c>
      <c r="G50" s="90">
        <v>1448609.25</v>
      </c>
      <c r="H50" s="90">
        <v>1397083.5</v>
      </c>
      <c r="I50" s="90">
        <v>1553257.83</v>
      </c>
      <c r="J50" s="90">
        <v>1477262.37</v>
      </c>
      <c r="K50" s="90">
        <v>1554869.75</v>
      </c>
      <c r="L50" s="90">
        <v>1617336.51</v>
      </c>
      <c r="M50" s="90">
        <v>1425837.98</v>
      </c>
      <c r="N50" s="90">
        <v>17698728.16</v>
      </c>
    </row>
    <row r="51" spans="1:14" x14ac:dyDescent="0.25">
      <c r="A51" s="87" t="s">
        <v>62</v>
      </c>
      <c r="B51" s="90">
        <v>1916996.17</v>
      </c>
      <c r="C51" s="90">
        <v>1857802.69</v>
      </c>
      <c r="D51" s="90">
        <v>1910207.88</v>
      </c>
      <c r="E51" s="90">
        <v>1954482.26</v>
      </c>
      <c r="F51" s="90">
        <v>1815623.33</v>
      </c>
      <c r="G51" s="90">
        <v>1982215.29</v>
      </c>
      <c r="H51" s="90">
        <v>1946725.7</v>
      </c>
      <c r="I51" s="90">
        <v>1938573.73</v>
      </c>
      <c r="J51" s="90">
        <v>1852484.79</v>
      </c>
      <c r="K51" s="90">
        <v>1861815.97</v>
      </c>
      <c r="L51" s="90">
        <v>1805165.6</v>
      </c>
      <c r="M51" s="90">
        <v>1666386.53</v>
      </c>
      <c r="N51" s="90">
        <v>22508479.940000001</v>
      </c>
    </row>
    <row r="52" spans="1:14" x14ac:dyDescent="0.25">
      <c r="A52" s="87" t="s">
        <v>63</v>
      </c>
      <c r="B52" s="90">
        <v>382878.55</v>
      </c>
      <c r="C52" s="90">
        <v>378772.59</v>
      </c>
      <c r="D52" s="90">
        <v>378826</v>
      </c>
      <c r="E52" s="90">
        <v>375150.03</v>
      </c>
      <c r="F52" s="90">
        <v>360816.04</v>
      </c>
      <c r="G52" s="90">
        <v>347594.76</v>
      </c>
      <c r="H52" s="90">
        <v>350963.62</v>
      </c>
      <c r="I52" s="90">
        <v>334348.45</v>
      </c>
      <c r="J52" s="90">
        <v>323762.34999999998</v>
      </c>
      <c r="K52" s="90">
        <v>318624.45</v>
      </c>
      <c r="L52" s="90">
        <v>322410.12</v>
      </c>
      <c r="M52" s="90">
        <v>322936.45</v>
      </c>
      <c r="N52" s="90">
        <v>4197083.41</v>
      </c>
    </row>
    <row r="53" spans="1:14" x14ac:dyDescent="0.25">
      <c r="A53" s="87" t="s">
        <v>64</v>
      </c>
      <c r="B53" s="90">
        <v>936992.44</v>
      </c>
      <c r="C53" s="90">
        <v>832172.02</v>
      </c>
      <c r="D53" s="90">
        <v>803237.77</v>
      </c>
      <c r="E53" s="90">
        <v>791174.32</v>
      </c>
      <c r="F53" s="90">
        <v>742283.84</v>
      </c>
      <c r="G53" s="90">
        <v>821120.18</v>
      </c>
      <c r="H53" s="90">
        <v>842191.5</v>
      </c>
      <c r="I53" s="90">
        <v>855167.12</v>
      </c>
      <c r="J53" s="90">
        <v>830477.46</v>
      </c>
      <c r="K53" s="90">
        <v>893684.32</v>
      </c>
      <c r="L53" s="90">
        <v>926737.88</v>
      </c>
      <c r="M53" s="90">
        <v>868434.43</v>
      </c>
      <c r="N53" s="90">
        <v>10143673.279999999</v>
      </c>
    </row>
    <row r="54" spans="1:14" x14ac:dyDescent="0.25">
      <c r="A54" s="87" t="s">
        <v>65</v>
      </c>
      <c r="B54" s="90">
        <v>2457870.89</v>
      </c>
      <c r="C54" s="90">
        <v>2595618.4700000002</v>
      </c>
      <c r="D54" s="90">
        <v>2612392.2200000002</v>
      </c>
      <c r="E54" s="90">
        <v>3199532.2</v>
      </c>
      <c r="F54" s="90">
        <v>2835684.91</v>
      </c>
      <c r="G54" s="90">
        <v>2819899.95</v>
      </c>
      <c r="H54" s="90">
        <v>2922578.05</v>
      </c>
      <c r="I54" s="90">
        <v>2761923.75</v>
      </c>
      <c r="J54" s="90">
        <v>2453076.81</v>
      </c>
      <c r="K54" s="90">
        <v>2502849.85</v>
      </c>
      <c r="L54" s="90">
        <v>2710511.76</v>
      </c>
      <c r="M54" s="90">
        <v>2547291.7000000002</v>
      </c>
      <c r="N54" s="90">
        <v>32419230.559999999</v>
      </c>
    </row>
    <row r="55" spans="1:14" x14ac:dyDescent="0.25">
      <c r="A55" s="87" t="s">
        <v>66</v>
      </c>
      <c r="B55" s="90">
        <v>428674.2</v>
      </c>
      <c r="C55" s="90">
        <v>413084.61</v>
      </c>
      <c r="D55" s="90">
        <v>331887.86</v>
      </c>
      <c r="E55" s="90">
        <v>448599.9</v>
      </c>
      <c r="F55" s="90">
        <v>427456.56</v>
      </c>
      <c r="G55" s="90">
        <v>424708.8</v>
      </c>
      <c r="H55" s="90">
        <v>401157.55</v>
      </c>
      <c r="I55" s="90">
        <v>465633.33</v>
      </c>
      <c r="J55" s="90">
        <v>387975.5</v>
      </c>
      <c r="K55" s="90">
        <v>433845.48</v>
      </c>
      <c r="L55" s="90">
        <v>376075.16</v>
      </c>
      <c r="M55" s="90">
        <v>305687.63</v>
      </c>
      <c r="N55" s="90">
        <v>4844786.58</v>
      </c>
    </row>
    <row r="56" spans="1:14" x14ac:dyDescent="0.25">
      <c r="A56" s="87" t="s">
        <v>67</v>
      </c>
      <c r="B56" s="90">
        <v>-4116.63</v>
      </c>
      <c r="C56" s="90">
        <v>-4227.8</v>
      </c>
      <c r="D56" s="90">
        <v>-3570.31</v>
      </c>
      <c r="E56" s="90">
        <v>-4277.87</v>
      </c>
      <c r="F56" s="90">
        <v>-5851.1</v>
      </c>
      <c r="G56" s="90">
        <v>-3920.64</v>
      </c>
      <c r="H56" s="90">
        <v>-3431.11</v>
      </c>
      <c r="I56" s="90">
        <v>-8541.25</v>
      </c>
      <c r="J56" s="90">
        <v>-7291.41</v>
      </c>
      <c r="K56" s="90">
        <v>-8047.76</v>
      </c>
      <c r="L56" s="90">
        <v>-6895.19</v>
      </c>
      <c r="M56" s="90">
        <v>-5691.5</v>
      </c>
      <c r="N56" s="90">
        <v>-65862.570000000007</v>
      </c>
    </row>
    <row r="57" spans="1:14" x14ac:dyDescent="0.25">
      <c r="A57" s="87" t="s">
        <v>68</v>
      </c>
      <c r="B57" s="90">
        <v>14677.92</v>
      </c>
      <c r="C57" s="90">
        <v>11189.66</v>
      </c>
      <c r="D57" s="90">
        <v>14750.95</v>
      </c>
      <c r="E57" s="90">
        <v>19828.32</v>
      </c>
      <c r="F57" s="90">
        <v>12000.51</v>
      </c>
      <c r="G57" s="90">
        <v>8405.9</v>
      </c>
      <c r="H57" s="90">
        <v>11532.08</v>
      </c>
      <c r="I57" s="90">
        <v>13244.37</v>
      </c>
      <c r="J57" s="90">
        <v>10547.15</v>
      </c>
      <c r="K57" s="90">
        <v>12688.71</v>
      </c>
      <c r="L57" s="90">
        <v>11722.37</v>
      </c>
      <c r="M57" s="90">
        <v>11916.65</v>
      </c>
      <c r="N57" s="90">
        <v>152504.59</v>
      </c>
    </row>
    <row r="58" spans="1:14" x14ac:dyDescent="0.25">
      <c r="A58" s="87" t="s">
        <v>69</v>
      </c>
      <c r="B58" s="90">
        <v>-343570.1</v>
      </c>
      <c r="C58" s="90">
        <v>-504077.57</v>
      </c>
      <c r="D58" s="90">
        <v>-447667.86</v>
      </c>
      <c r="E58" s="90">
        <v>49505.88</v>
      </c>
      <c r="F58" s="90">
        <v>2362.41</v>
      </c>
      <c r="G58" s="90">
        <v>-120585.46</v>
      </c>
      <c r="H58" s="90">
        <v>-143675.25</v>
      </c>
      <c r="I58" s="90">
        <v>180481.48</v>
      </c>
      <c r="J58" s="90">
        <v>-209143.95</v>
      </c>
      <c r="K58" s="90">
        <v>-319433.38</v>
      </c>
      <c r="L58" s="90">
        <v>-187536.21</v>
      </c>
      <c r="M58" s="90">
        <v>-65608</v>
      </c>
      <c r="N58" s="90">
        <v>-2108948.0099999998</v>
      </c>
    </row>
    <row r="59" spans="1:14" x14ac:dyDescent="0.25">
      <c r="A59" s="87" t="s">
        <v>70</v>
      </c>
      <c r="B59" s="90">
        <v>-72130.210000000006</v>
      </c>
      <c r="C59" s="90">
        <v>-33204.42</v>
      </c>
      <c r="D59" s="90">
        <v>-30613.03</v>
      </c>
      <c r="E59" s="90">
        <v>-150420.79999999999</v>
      </c>
      <c r="F59" s="90">
        <v>-226416.37</v>
      </c>
      <c r="G59" s="90">
        <v>-234717.82</v>
      </c>
      <c r="H59" s="90">
        <v>-854465.01</v>
      </c>
      <c r="I59" s="90">
        <v>-475766.84</v>
      </c>
      <c r="J59" s="90">
        <v>-154042.53</v>
      </c>
      <c r="K59" s="90">
        <v>-153454.53</v>
      </c>
      <c r="L59" s="90">
        <v>-90986.5</v>
      </c>
      <c r="M59" s="90">
        <v>-58228.800000000003</v>
      </c>
      <c r="N59" s="90">
        <v>-2534446.86</v>
      </c>
    </row>
    <row r="60" spans="1:14" ht="23.25" x14ac:dyDescent="0.25">
      <c r="A60" s="87" t="s">
        <v>71</v>
      </c>
      <c r="B60" s="90">
        <v>-47695.05</v>
      </c>
      <c r="C60" s="90">
        <v>52676.98</v>
      </c>
      <c r="D60" s="90">
        <v>-17206.88</v>
      </c>
      <c r="E60" s="90">
        <v>-53873.599999999999</v>
      </c>
      <c r="F60" s="90">
        <v>-56917.599999999999</v>
      </c>
      <c r="G60" s="90">
        <v>-100413.49</v>
      </c>
      <c r="H60" s="90">
        <v>-51498.7</v>
      </c>
      <c r="I60" s="90">
        <v>-143254.93</v>
      </c>
      <c r="J60" s="90">
        <v>-134446.79999999999</v>
      </c>
      <c r="K60" s="90">
        <v>-34073.78</v>
      </c>
      <c r="L60" s="90">
        <v>-113139.1</v>
      </c>
      <c r="M60" s="90">
        <v>-15352</v>
      </c>
      <c r="N60" s="90">
        <v>-715194.95</v>
      </c>
    </row>
    <row r="61" spans="1:14" ht="23.25" x14ac:dyDescent="0.25">
      <c r="A61" s="87" t="s">
        <v>72</v>
      </c>
      <c r="B61" s="90">
        <v>39629.730000000003</v>
      </c>
      <c r="C61" s="90">
        <v>-1898.92</v>
      </c>
      <c r="D61" s="90">
        <v>2977.5</v>
      </c>
      <c r="E61" s="90">
        <v>-80757.5</v>
      </c>
      <c r="F61" s="90">
        <v>-58144.28</v>
      </c>
      <c r="G61" s="90">
        <v>-23937.58</v>
      </c>
      <c r="H61" s="90">
        <v>10351.799999999999</v>
      </c>
      <c r="I61" s="90">
        <v>-60961.61</v>
      </c>
      <c r="J61" s="90">
        <v>12465.3</v>
      </c>
      <c r="K61" s="90">
        <v>-25608.22</v>
      </c>
      <c r="L61" s="90">
        <v>10425.09</v>
      </c>
      <c r="M61" s="90">
        <v>39316.19</v>
      </c>
      <c r="N61" s="90">
        <v>-136142.5</v>
      </c>
    </row>
    <row r="62" spans="1:14" ht="23.25" x14ac:dyDescent="0.25">
      <c r="A62" s="87" t="s">
        <v>73</v>
      </c>
      <c r="B62" s="90">
        <v>126424.29</v>
      </c>
      <c r="C62" s="90">
        <v>494381.46</v>
      </c>
      <c r="D62" s="90">
        <v>306150.57</v>
      </c>
      <c r="E62" s="90">
        <v>-59955.78</v>
      </c>
      <c r="F62" s="90">
        <v>2192.5</v>
      </c>
      <c r="G62" s="90">
        <v>84101.05</v>
      </c>
      <c r="H62" s="90">
        <v>137806.68</v>
      </c>
      <c r="I62" s="90">
        <v>-126367.3</v>
      </c>
      <c r="J62" s="90">
        <v>199961.82</v>
      </c>
      <c r="K62" s="90">
        <v>309542.74</v>
      </c>
      <c r="L62" s="90">
        <v>206914</v>
      </c>
      <c r="M62" s="90">
        <v>85834.2</v>
      </c>
      <c r="N62" s="90">
        <v>1766986.23</v>
      </c>
    </row>
    <row r="63" spans="1:14" x14ac:dyDescent="0.25">
      <c r="A63" s="87" t="s">
        <v>74</v>
      </c>
      <c r="B63" s="90">
        <v>51607.95</v>
      </c>
      <c r="C63" s="90">
        <v>33883.53</v>
      </c>
      <c r="D63" s="90">
        <v>28620.06</v>
      </c>
      <c r="E63" s="90">
        <v>72782.649999999994</v>
      </c>
      <c r="F63" s="90">
        <v>156736.88</v>
      </c>
      <c r="G63" s="90">
        <v>265187.13</v>
      </c>
      <c r="H63" s="90">
        <v>895951.39</v>
      </c>
      <c r="I63" s="90">
        <v>304057.51</v>
      </c>
      <c r="J63" s="90">
        <v>77575.67</v>
      </c>
      <c r="K63" s="90">
        <v>177944.1</v>
      </c>
      <c r="L63" s="90">
        <v>49936.02</v>
      </c>
      <c r="M63" s="90">
        <v>103826.54</v>
      </c>
      <c r="N63" s="90">
        <v>2218109.4300000002</v>
      </c>
    </row>
    <row r="64" spans="1:14" x14ac:dyDescent="0.25">
      <c r="A64" s="87" t="s">
        <v>75</v>
      </c>
      <c r="B64" s="90">
        <v>-55119.98</v>
      </c>
      <c r="C64" s="90">
        <v>-102487.93</v>
      </c>
      <c r="D64" s="90">
        <v>70731.600000000006</v>
      </c>
      <c r="E64" s="90">
        <v>0</v>
      </c>
      <c r="F64" s="90">
        <v>7398.19</v>
      </c>
      <c r="G64" s="90">
        <v>42224.37</v>
      </c>
      <c r="H64" s="90">
        <v>43131.94</v>
      </c>
      <c r="I64" s="90">
        <v>-16846.62</v>
      </c>
      <c r="J64" s="90">
        <v>-59469.99</v>
      </c>
      <c r="K64" s="90">
        <v>-91513.97</v>
      </c>
      <c r="L64" s="90">
        <v>-17864.57</v>
      </c>
      <c r="M64" s="90">
        <v>-8167.1</v>
      </c>
      <c r="N64" s="90">
        <v>-187984.06</v>
      </c>
    </row>
    <row r="65" spans="1:14" x14ac:dyDescent="0.25">
      <c r="A65" s="87" t="s">
        <v>76</v>
      </c>
      <c r="B65" s="90">
        <v>-12804.03</v>
      </c>
      <c r="C65" s="90">
        <v>2447.84</v>
      </c>
      <c r="D65" s="90">
        <v>13946.01</v>
      </c>
      <c r="E65" s="90">
        <v>20758.189999999999</v>
      </c>
      <c r="F65" s="90">
        <v>32861.96</v>
      </c>
      <c r="G65" s="90">
        <v>1300.48</v>
      </c>
      <c r="H65" s="90">
        <v>-5741.82</v>
      </c>
      <c r="I65" s="90">
        <v>-4735.91</v>
      </c>
      <c r="J65" s="90">
        <v>-2132.89</v>
      </c>
      <c r="K65" s="90">
        <v>-17994</v>
      </c>
      <c r="L65" s="90">
        <v>12211.81</v>
      </c>
      <c r="M65" s="90">
        <v>-8644.4699999999993</v>
      </c>
      <c r="N65" s="90">
        <v>31473.17</v>
      </c>
    </row>
    <row r="66" spans="1:14" ht="23.25" x14ac:dyDescent="0.25">
      <c r="A66" s="87" t="s">
        <v>77</v>
      </c>
      <c r="B66" s="90">
        <v>219829.19</v>
      </c>
      <c r="C66" s="90">
        <v>15530.92</v>
      </c>
      <c r="D66" s="90">
        <v>70480.789999999994</v>
      </c>
      <c r="E66" s="90">
        <v>0</v>
      </c>
      <c r="F66" s="90">
        <v>63845</v>
      </c>
      <c r="G66" s="90">
        <v>38499.72</v>
      </c>
      <c r="H66" s="90">
        <v>43295.77</v>
      </c>
      <c r="I66" s="90">
        <v>6814.68</v>
      </c>
      <c r="J66" s="90">
        <v>33043.5</v>
      </c>
      <c r="K66" s="90">
        <v>35007.629999999997</v>
      </c>
      <c r="L66" s="90">
        <v>64701.18</v>
      </c>
      <c r="M66" s="90">
        <v>-24282.32</v>
      </c>
      <c r="N66" s="90">
        <v>566766.06000000006</v>
      </c>
    </row>
    <row r="67" spans="1:14" ht="23.25" x14ac:dyDescent="0.25">
      <c r="A67" s="87" t="s">
        <v>78</v>
      </c>
      <c r="B67" s="90">
        <v>46642.63</v>
      </c>
      <c r="C67" s="90">
        <v>-5.44</v>
      </c>
      <c r="D67" s="90">
        <v>-19216.82</v>
      </c>
      <c r="E67" s="90">
        <v>114402.81</v>
      </c>
      <c r="F67" s="90">
        <v>63817.52</v>
      </c>
      <c r="G67" s="90">
        <v>-16205.89</v>
      </c>
      <c r="H67" s="90">
        <v>45598.64</v>
      </c>
      <c r="I67" s="90">
        <v>-2782.87</v>
      </c>
      <c r="J67" s="90">
        <v>-16803.39</v>
      </c>
      <c r="K67" s="90">
        <v>6173.37</v>
      </c>
      <c r="L67" s="90">
        <v>49587.76</v>
      </c>
      <c r="M67" s="90">
        <v>-9785.16</v>
      </c>
      <c r="N67" s="90">
        <v>261423.16</v>
      </c>
    </row>
    <row r="68" spans="1:14" x14ac:dyDescent="0.25">
      <c r="A68" s="87" t="s">
        <v>79</v>
      </c>
      <c r="B68" s="90">
        <v>-259.17</v>
      </c>
      <c r="C68" s="90">
        <v>-3011.63</v>
      </c>
      <c r="D68" s="90">
        <v>-114.21</v>
      </c>
      <c r="E68" s="90">
        <v>1092.6199999999999</v>
      </c>
      <c r="F68" s="90">
        <v>61.92</v>
      </c>
      <c r="G68" s="90">
        <v>292.74</v>
      </c>
      <c r="H68" s="90">
        <v>-110.04</v>
      </c>
      <c r="I68" s="90">
        <v>-2066.5</v>
      </c>
      <c r="J68" s="90">
        <v>-1580.98</v>
      </c>
      <c r="K68" s="90">
        <v>-1151.67</v>
      </c>
      <c r="L68" s="90">
        <v>-1559.1</v>
      </c>
      <c r="M68" s="90">
        <v>-3711.66</v>
      </c>
      <c r="N68" s="90">
        <v>-12117.68</v>
      </c>
    </row>
    <row r="69" spans="1:14" x14ac:dyDescent="0.25">
      <c r="A69" s="87" t="s">
        <v>80</v>
      </c>
      <c r="B69" s="96">
        <v>-4.16</v>
      </c>
      <c r="C69" s="96">
        <v>-8.83</v>
      </c>
      <c r="D69" s="96">
        <v>0</v>
      </c>
      <c r="E69" s="96">
        <v>-657.72</v>
      </c>
      <c r="F69" s="96">
        <v>9987.7900000000009</v>
      </c>
      <c r="G69" s="96">
        <v>-120.2</v>
      </c>
      <c r="H69" s="96">
        <v>0</v>
      </c>
      <c r="I69" s="96">
        <v>0</v>
      </c>
      <c r="J69" s="96">
        <v>0</v>
      </c>
      <c r="K69" s="96">
        <v>0</v>
      </c>
      <c r="L69" s="96">
        <v>0</v>
      </c>
      <c r="M69" s="96">
        <v>0</v>
      </c>
      <c r="N69" s="96">
        <v>9196.8799999999992</v>
      </c>
    </row>
    <row r="70" spans="1:14" x14ac:dyDescent="0.25">
      <c r="A70" s="94" t="s">
        <v>81</v>
      </c>
      <c r="B70" s="102">
        <v>26724482.059999999</v>
      </c>
      <c r="C70" s="102">
        <v>25479970.73</v>
      </c>
      <c r="D70" s="102">
        <v>25684634.059999999</v>
      </c>
      <c r="E70" s="102">
        <v>26396949.309999999</v>
      </c>
      <c r="F70" s="102">
        <v>24245096.25</v>
      </c>
      <c r="G70" s="102">
        <v>25958570.140000001</v>
      </c>
      <c r="H70" s="102">
        <v>25408631.120000001</v>
      </c>
      <c r="I70" s="102">
        <v>24850415.969999999</v>
      </c>
      <c r="J70" s="102">
        <v>23772651.809999999</v>
      </c>
      <c r="K70" s="102">
        <v>24759307.75</v>
      </c>
      <c r="L70" s="102">
        <v>25099179.510000002</v>
      </c>
      <c r="M70" s="102">
        <v>24014718.579999998</v>
      </c>
      <c r="N70" s="102">
        <v>302394607.29000002</v>
      </c>
    </row>
    <row r="71" spans="1:14" x14ac:dyDescent="0.25">
      <c r="A71" s="87"/>
      <c r="B71" s="88"/>
      <c r="C71" s="88"/>
      <c r="D71" s="88"/>
      <c r="E71" s="88"/>
      <c r="F71" s="88"/>
      <c r="G71" s="88"/>
      <c r="H71" s="88"/>
      <c r="I71" s="88"/>
      <c r="J71" s="88"/>
      <c r="K71" s="88"/>
      <c r="L71" s="88"/>
      <c r="M71" s="88"/>
      <c r="N71" s="88"/>
    </row>
    <row r="72" spans="1:14" x14ac:dyDescent="0.25">
      <c r="A72" s="87" t="s">
        <v>82</v>
      </c>
      <c r="B72" s="90">
        <v>170</v>
      </c>
      <c r="C72" s="90">
        <v>165</v>
      </c>
      <c r="D72" s="90">
        <v>167</v>
      </c>
      <c r="E72" s="90">
        <v>191</v>
      </c>
      <c r="F72" s="90">
        <v>140</v>
      </c>
      <c r="G72" s="90">
        <v>233</v>
      </c>
      <c r="H72" s="90">
        <v>210</v>
      </c>
      <c r="I72" s="90">
        <v>50</v>
      </c>
      <c r="J72" s="90">
        <v>106</v>
      </c>
      <c r="K72" s="90">
        <v>14.46</v>
      </c>
      <c r="L72" s="90">
        <v>0</v>
      </c>
      <c r="M72" s="90">
        <v>0</v>
      </c>
      <c r="N72" s="90">
        <v>1446.46</v>
      </c>
    </row>
    <row r="73" spans="1:14" x14ac:dyDescent="0.25">
      <c r="A73" s="87" t="s">
        <v>203</v>
      </c>
      <c r="B73" s="90">
        <v>0</v>
      </c>
      <c r="C73" s="90">
        <v>0</v>
      </c>
      <c r="D73" s="90">
        <v>0</v>
      </c>
      <c r="E73" s="90">
        <v>0</v>
      </c>
      <c r="F73" s="90">
        <v>0</v>
      </c>
      <c r="G73" s="90">
        <v>0</v>
      </c>
      <c r="H73" s="90">
        <v>0</v>
      </c>
      <c r="I73" s="90">
        <v>0</v>
      </c>
      <c r="J73" s="90">
        <v>1411.48</v>
      </c>
      <c r="K73" s="90">
        <v>2315.4299999999998</v>
      </c>
      <c r="L73" s="90">
        <v>2401</v>
      </c>
      <c r="M73" s="90">
        <v>2595.5500000000002</v>
      </c>
      <c r="N73" s="90">
        <v>8723.4599999999991</v>
      </c>
    </row>
    <row r="74" spans="1:14" x14ac:dyDescent="0.25">
      <c r="A74" s="87" t="s">
        <v>83</v>
      </c>
      <c r="B74" s="90">
        <v>0</v>
      </c>
      <c r="C74" s="90">
        <v>0</v>
      </c>
      <c r="D74" s="90">
        <v>515</v>
      </c>
      <c r="E74" s="90">
        <v>0</v>
      </c>
      <c r="F74" s="90">
        <v>500</v>
      </c>
      <c r="G74" s="90">
        <v>515</v>
      </c>
      <c r="H74" s="90">
        <v>515</v>
      </c>
      <c r="I74" s="90">
        <v>515</v>
      </c>
      <c r="J74" s="90">
        <v>515</v>
      </c>
      <c r="K74" s="90">
        <v>515</v>
      </c>
      <c r="L74" s="90">
        <v>515</v>
      </c>
      <c r="M74" s="90">
        <v>515</v>
      </c>
      <c r="N74" s="90">
        <v>4620</v>
      </c>
    </row>
    <row r="75" spans="1:14" x14ac:dyDescent="0.25">
      <c r="A75" s="87" t="s">
        <v>84</v>
      </c>
      <c r="B75" s="90">
        <v>10675.76</v>
      </c>
      <c r="C75" s="90">
        <v>11410.5</v>
      </c>
      <c r="D75" s="90">
        <v>21291.61</v>
      </c>
      <c r="E75" s="90">
        <v>10674.97</v>
      </c>
      <c r="F75" s="90">
        <v>14494.58</v>
      </c>
      <c r="G75" s="90">
        <v>8970.7800000000007</v>
      </c>
      <c r="H75" s="90">
        <v>6482.68</v>
      </c>
      <c r="I75" s="90">
        <v>10509</v>
      </c>
      <c r="J75" s="90">
        <v>-187.43</v>
      </c>
      <c r="K75" s="90">
        <v>5482.39</v>
      </c>
      <c r="L75" s="90">
        <v>-2209.73</v>
      </c>
      <c r="M75" s="90">
        <v>-1708.31</v>
      </c>
      <c r="N75" s="90">
        <v>95886.8</v>
      </c>
    </row>
    <row r="76" spans="1:14" x14ac:dyDescent="0.25">
      <c r="A76" s="87" t="s">
        <v>85</v>
      </c>
      <c r="B76" s="90">
        <v>1165</v>
      </c>
      <c r="C76" s="90">
        <v>1335</v>
      </c>
      <c r="D76" s="90">
        <v>455</v>
      </c>
      <c r="E76" s="90">
        <v>890</v>
      </c>
      <c r="F76" s="90">
        <v>550</v>
      </c>
      <c r="G76" s="90">
        <v>877</v>
      </c>
      <c r="H76" s="90">
        <v>1202</v>
      </c>
      <c r="I76" s="90">
        <v>730</v>
      </c>
      <c r="J76" s="90">
        <v>359</v>
      </c>
      <c r="K76" s="90">
        <v>0</v>
      </c>
      <c r="L76" s="90">
        <v>0</v>
      </c>
      <c r="M76" s="90">
        <v>0</v>
      </c>
      <c r="N76" s="90">
        <v>7563</v>
      </c>
    </row>
    <row r="77" spans="1:14" x14ac:dyDescent="0.25">
      <c r="A77" s="87" t="s">
        <v>86</v>
      </c>
      <c r="B77" s="90">
        <v>2865.27</v>
      </c>
      <c r="C77" s="90">
        <v>834.22</v>
      </c>
      <c r="D77" s="90">
        <v>1852.7</v>
      </c>
      <c r="E77" s="90">
        <v>3545.77</v>
      </c>
      <c r="F77" s="90">
        <v>3167.87</v>
      </c>
      <c r="G77" s="90">
        <v>1985.18</v>
      </c>
      <c r="H77" s="90">
        <v>499.54</v>
      </c>
      <c r="I77" s="90">
        <v>2525.38</v>
      </c>
      <c r="J77" s="90">
        <v>2107.4299999999998</v>
      </c>
      <c r="K77" s="90">
        <v>3545.55</v>
      </c>
      <c r="L77" s="90">
        <v>2091.94</v>
      </c>
      <c r="M77" s="90">
        <v>430.43</v>
      </c>
      <c r="N77" s="90">
        <v>25451.279999999999</v>
      </c>
    </row>
    <row r="78" spans="1:14" x14ac:dyDescent="0.25">
      <c r="A78" s="87" t="s">
        <v>87</v>
      </c>
      <c r="B78" s="90">
        <v>3191.61</v>
      </c>
      <c r="C78" s="90">
        <v>-805.76</v>
      </c>
      <c r="D78" s="90">
        <v>0</v>
      </c>
      <c r="E78" s="90">
        <v>0</v>
      </c>
      <c r="F78" s="90">
        <v>4121.04</v>
      </c>
      <c r="G78" s="90">
        <v>13316.64</v>
      </c>
      <c r="H78" s="90">
        <v>60.76</v>
      </c>
      <c r="I78" s="90">
        <v>4650</v>
      </c>
      <c r="J78" s="90">
        <v>0</v>
      </c>
      <c r="K78" s="90">
        <v>49.67</v>
      </c>
      <c r="L78" s="90">
        <v>0</v>
      </c>
      <c r="M78" s="90">
        <v>48833.74</v>
      </c>
      <c r="N78" s="90">
        <v>73417.7</v>
      </c>
    </row>
    <row r="79" spans="1:14" x14ac:dyDescent="0.25">
      <c r="A79" s="87" t="s">
        <v>88</v>
      </c>
      <c r="B79" s="90">
        <v>589.84</v>
      </c>
      <c r="C79" s="90">
        <v>4179.6400000000003</v>
      </c>
      <c r="D79" s="90">
        <v>0</v>
      </c>
      <c r="E79" s="90">
        <v>0</v>
      </c>
      <c r="F79" s="90">
        <v>0</v>
      </c>
      <c r="G79" s="90">
        <v>735</v>
      </c>
      <c r="H79" s="90">
        <v>0</v>
      </c>
      <c r="I79" s="90">
        <v>37</v>
      </c>
      <c r="J79" s="90">
        <v>0</v>
      </c>
      <c r="K79" s="90">
        <v>0</v>
      </c>
      <c r="L79" s="90">
        <v>0</v>
      </c>
      <c r="M79" s="90">
        <v>0</v>
      </c>
      <c r="N79" s="90">
        <v>5541.48</v>
      </c>
    </row>
    <row r="80" spans="1:14" x14ac:dyDescent="0.25">
      <c r="A80" s="87" t="s">
        <v>89</v>
      </c>
      <c r="B80" s="90">
        <v>3323.89</v>
      </c>
      <c r="C80" s="90">
        <v>963.11</v>
      </c>
      <c r="D80" s="90">
        <v>2717.42</v>
      </c>
      <c r="E80" s="90">
        <v>35.700000000000003</v>
      </c>
      <c r="F80" s="90">
        <v>-492.86</v>
      </c>
      <c r="G80" s="90">
        <v>8839.06</v>
      </c>
      <c r="H80" s="90">
        <v>0</v>
      </c>
      <c r="I80" s="90">
        <v>1172</v>
      </c>
      <c r="J80" s="90">
        <v>1053.71</v>
      </c>
      <c r="K80" s="90">
        <v>25</v>
      </c>
      <c r="L80" s="90">
        <v>4900</v>
      </c>
      <c r="M80" s="90">
        <v>4632.43</v>
      </c>
      <c r="N80" s="90">
        <v>27169.46</v>
      </c>
    </row>
    <row r="81" spans="1:14" x14ac:dyDescent="0.25">
      <c r="A81" s="87" t="s">
        <v>90</v>
      </c>
      <c r="B81" s="90">
        <v>0</v>
      </c>
      <c r="C81" s="90">
        <v>0</v>
      </c>
      <c r="D81" s="90">
        <v>-6.5</v>
      </c>
      <c r="E81" s="90">
        <v>0</v>
      </c>
      <c r="F81" s="90">
        <v>0</v>
      </c>
      <c r="G81" s="90">
        <v>0</v>
      </c>
      <c r="H81" s="90">
        <v>0</v>
      </c>
      <c r="I81" s="90">
        <v>0</v>
      </c>
      <c r="J81" s="90">
        <v>0</v>
      </c>
      <c r="K81" s="90">
        <v>0</v>
      </c>
      <c r="L81" s="90">
        <v>0</v>
      </c>
      <c r="M81" s="90">
        <v>0</v>
      </c>
      <c r="N81" s="90">
        <v>-6.5</v>
      </c>
    </row>
    <row r="82" spans="1:14" x14ac:dyDescent="0.25">
      <c r="A82" s="87" t="s">
        <v>91</v>
      </c>
      <c r="B82" s="90">
        <v>515</v>
      </c>
      <c r="C82" s="90">
        <v>515</v>
      </c>
      <c r="D82" s="90">
        <v>0</v>
      </c>
      <c r="E82" s="90">
        <v>515</v>
      </c>
      <c r="F82" s="90">
        <v>0</v>
      </c>
      <c r="G82" s="90">
        <v>0</v>
      </c>
      <c r="H82" s="90">
        <v>0</v>
      </c>
      <c r="I82" s="90">
        <v>0</v>
      </c>
      <c r="J82" s="90">
        <v>0</v>
      </c>
      <c r="K82" s="90">
        <v>0</v>
      </c>
      <c r="L82" s="90">
        <v>0</v>
      </c>
      <c r="M82" s="90">
        <v>0</v>
      </c>
      <c r="N82" s="90">
        <v>1545</v>
      </c>
    </row>
    <row r="83" spans="1:14" x14ac:dyDescent="0.25">
      <c r="A83" s="87" t="s">
        <v>92</v>
      </c>
      <c r="B83" s="90">
        <v>500</v>
      </c>
      <c r="C83" s="90">
        <v>0</v>
      </c>
      <c r="D83" s="90">
        <v>0</v>
      </c>
      <c r="E83" s="90">
        <v>0</v>
      </c>
      <c r="F83" s="90">
        <v>0</v>
      </c>
      <c r="G83" s="90">
        <v>0</v>
      </c>
      <c r="H83" s="90">
        <v>0</v>
      </c>
      <c r="I83" s="90">
        <v>0</v>
      </c>
      <c r="J83" s="90">
        <v>0</v>
      </c>
      <c r="K83" s="90">
        <v>0</v>
      </c>
      <c r="L83" s="90">
        <v>0</v>
      </c>
      <c r="M83" s="90">
        <v>0</v>
      </c>
      <c r="N83" s="90">
        <v>500</v>
      </c>
    </row>
    <row r="84" spans="1:14" x14ac:dyDescent="0.25">
      <c r="A84" s="87" t="s">
        <v>93</v>
      </c>
      <c r="B84" s="90">
        <v>0</v>
      </c>
      <c r="C84" s="90">
        <v>1799.97</v>
      </c>
      <c r="D84" s="90">
        <v>607.03</v>
      </c>
      <c r="E84" s="90">
        <v>0</v>
      </c>
      <c r="F84" s="90">
        <v>1199.98</v>
      </c>
      <c r="G84" s="90">
        <v>614.07000000000005</v>
      </c>
      <c r="H84" s="90">
        <v>0</v>
      </c>
      <c r="I84" s="90">
        <v>599.99</v>
      </c>
      <c r="J84" s="90">
        <v>0</v>
      </c>
      <c r="K84" s="90">
        <v>0</v>
      </c>
      <c r="L84" s="90">
        <v>0</v>
      </c>
      <c r="M84" s="90">
        <v>32325.03</v>
      </c>
      <c r="N84" s="90">
        <v>37146.07</v>
      </c>
    </row>
    <row r="85" spans="1:14" x14ac:dyDescent="0.25">
      <c r="A85" s="87" t="s">
        <v>94</v>
      </c>
      <c r="B85" s="90">
        <v>-44715.92</v>
      </c>
      <c r="C85" s="90">
        <v>91266.55</v>
      </c>
      <c r="D85" s="90">
        <v>129611.51</v>
      </c>
      <c r="E85" s="90">
        <v>-66123.92</v>
      </c>
      <c r="F85" s="90">
        <v>-154144.07</v>
      </c>
      <c r="G85" s="90">
        <v>-216348.74</v>
      </c>
      <c r="H85" s="90">
        <v>-136768.56</v>
      </c>
      <c r="I85" s="90">
        <v>-191432.73</v>
      </c>
      <c r="J85" s="90">
        <v>-193480.22</v>
      </c>
      <c r="K85" s="90">
        <v>-546791.04</v>
      </c>
      <c r="L85" s="90">
        <v>-312342.38</v>
      </c>
      <c r="M85" s="90">
        <v>-257290.67</v>
      </c>
      <c r="N85" s="90">
        <v>-1898560.19</v>
      </c>
    </row>
    <row r="86" spans="1:14" x14ac:dyDescent="0.25">
      <c r="A86" s="87" t="s">
        <v>95</v>
      </c>
      <c r="B86" s="90">
        <v>51387.75</v>
      </c>
      <c r="C86" s="90">
        <v>51387.75</v>
      </c>
      <c r="D86" s="90">
        <v>51387.75</v>
      </c>
      <c r="E86" s="90">
        <v>51387.75</v>
      </c>
      <c r="F86" s="90">
        <v>51387.75</v>
      </c>
      <c r="G86" s="90">
        <v>51387.75</v>
      </c>
      <c r="H86" s="90">
        <v>69492.539999999994</v>
      </c>
      <c r="I86" s="90">
        <v>51387.75</v>
      </c>
      <c r="J86" s="90">
        <v>51387.75</v>
      </c>
      <c r="K86" s="90">
        <v>59619.62</v>
      </c>
      <c r="L86" s="90">
        <v>52481.41</v>
      </c>
      <c r="M86" s="90">
        <v>58969.8</v>
      </c>
      <c r="N86" s="90">
        <v>651665.37</v>
      </c>
    </row>
    <row r="87" spans="1:14" x14ac:dyDescent="0.25">
      <c r="A87" s="87" t="s">
        <v>96</v>
      </c>
      <c r="B87" s="90">
        <v>689.75</v>
      </c>
      <c r="C87" s="90">
        <v>1119.0899999999999</v>
      </c>
      <c r="D87" s="90">
        <v>604.48</v>
      </c>
      <c r="E87" s="90">
        <v>738.13</v>
      </c>
      <c r="F87" s="90">
        <v>1181.5899999999999</v>
      </c>
      <c r="G87" s="90">
        <v>646.27</v>
      </c>
      <c r="H87" s="90">
        <v>122.78</v>
      </c>
      <c r="I87" s="90">
        <v>802.24</v>
      </c>
      <c r="J87" s="90">
        <v>393.78</v>
      </c>
      <c r="K87" s="90">
        <v>447.48</v>
      </c>
      <c r="L87" s="90">
        <v>162.56</v>
      </c>
      <c r="M87" s="90">
        <v>232.14</v>
      </c>
      <c r="N87" s="90">
        <v>7140.29</v>
      </c>
    </row>
    <row r="88" spans="1:14" x14ac:dyDescent="0.25">
      <c r="A88" s="87" t="s">
        <v>97</v>
      </c>
      <c r="B88" s="96">
        <v>-52565.94</v>
      </c>
      <c r="C88" s="96">
        <v>-96815.25</v>
      </c>
      <c r="D88" s="96">
        <v>-48593.27</v>
      </c>
      <c r="E88" s="96">
        <v>-26107.18</v>
      </c>
      <c r="F88" s="96">
        <v>-22746.49</v>
      </c>
      <c r="G88" s="96">
        <v>-44070.06</v>
      </c>
      <c r="H88" s="96">
        <v>-55517.85</v>
      </c>
      <c r="I88" s="96">
        <v>-59471.31</v>
      </c>
      <c r="J88" s="96">
        <v>-153037.01</v>
      </c>
      <c r="K88" s="96">
        <v>-66446.12</v>
      </c>
      <c r="L88" s="96">
        <v>-78440.289999999994</v>
      </c>
      <c r="M88" s="96">
        <v>-103649.03</v>
      </c>
      <c r="N88" s="96">
        <v>-807459.8</v>
      </c>
    </row>
    <row r="89" spans="1:14" x14ac:dyDescent="0.25">
      <c r="A89" s="94" t="s">
        <v>98</v>
      </c>
      <c r="B89" s="102">
        <v>-22207.99</v>
      </c>
      <c r="C89" s="102">
        <v>67354.820000000007</v>
      </c>
      <c r="D89" s="102">
        <v>160609.73000000001</v>
      </c>
      <c r="E89" s="102">
        <v>-24252.78</v>
      </c>
      <c r="F89" s="102">
        <v>-100640.61</v>
      </c>
      <c r="G89" s="102">
        <v>-172299.05</v>
      </c>
      <c r="H89" s="102">
        <v>-113701.11</v>
      </c>
      <c r="I89" s="102">
        <v>-177925.68</v>
      </c>
      <c r="J89" s="102">
        <v>-289370.51</v>
      </c>
      <c r="K89" s="102">
        <v>-541222.56000000006</v>
      </c>
      <c r="L89" s="102">
        <v>-330440.49</v>
      </c>
      <c r="M89" s="102">
        <v>-214113.89</v>
      </c>
      <c r="N89" s="102">
        <v>-1758210.12</v>
      </c>
    </row>
    <row r="90" spans="1:14" x14ac:dyDescent="0.25">
      <c r="A90" s="87"/>
      <c r="B90" s="103"/>
      <c r="C90" s="103"/>
      <c r="D90" s="103"/>
      <c r="E90" s="103"/>
      <c r="F90" s="103"/>
      <c r="G90" s="103"/>
      <c r="H90" s="103"/>
      <c r="I90" s="103"/>
      <c r="J90" s="103"/>
      <c r="K90" s="103"/>
      <c r="L90" s="103"/>
      <c r="M90" s="103"/>
      <c r="N90" s="103"/>
    </row>
    <row r="91" spans="1:14" x14ac:dyDescent="0.25">
      <c r="A91" s="94" t="s">
        <v>99</v>
      </c>
      <c r="B91" s="104">
        <v>26702274.07</v>
      </c>
      <c r="C91" s="104">
        <v>25547325.550000001</v>
      </c>
      <c r="D91" s="104">
        <v>25845243.789999999</v>
      </c>
      <c r="E91" s="104">
        <v>26372696.530000001</v>
      </c>
      <c r="F91" s="104">
        <v>24144455.640000001</v>
      </c>
      <c r="G91" s="104">
        <v>25786271.09</v>
      </c>
      <c r="H91" s="104">
        <v>25294930.010000002</v>
      </c>
      <c r="I91" s="104">
        <v>24672490.289999999</v>
      </c>
      <c r="J91" s="104">
        <v>23483281.300000001</v>
      </c>
      <c r="K91" s="104">
        <v>24218085.190000001</v>
      </c>
      <c r="L91" s="104">
        <v>24768739.02</v>
      </c>
      <c r="M91" s="104">
        <v>23800604.690000001</v>
      </c>
      <c r="N91" s="104">
        <v>300636397.17000002</v>
      </c>
    </row>
    <row r="92" spans="1:14" x14ac:dyDescent="0.25">
      <c r="A92" s="87"/>
      <c r="B92" s="88"/>
      <c r="C92" s="88"/>
      <c r="D92" s="88"/>
      <c r="E92" s="88"/>
      <c r="F92" s="88"/>
      <c r="G92" s="88"/>
      <c r="H92" s="88"/>
      <c r="I92" s="88"/>
      <c r="J92" s="88"/>
      <c r="K92" s="88"/>
      <c r="L92" s="88"/>
      <c r="M92" s="88"/>
      <c r="N92" s="88"/>
    </row>
    <row r="93" spans="1:14" x14ac:dyDescent="0.25">
      <c r="A93" s="94" t="s">
        <v>100</v>
      </c>
      <c r="B93" s="101"/>
      <c r="C93" s="101"/>
      <c r="D93" s="101"/>
      <c r="E93" s="101"/>
      <c r="F93" s="101"/>
      <c r="G93" s="101"/>
      <c r="H93" s="101"/>
      <c r="I93" s="101"/>
      <c r="J93" s="101"/>
      <c r="K93" s="101"/>
      <c r="L93" s="101"/>
      <c r="M93" s="101"/>
      <c r="N93" s="101"/>
    </row>
    <row r="94" spans="1:14" x14ac:dyDescent="0.25">
      <c r="A94" s="87"/>
      <c r="B94" s="88"/>
      <c r="C94" s="88"/>
      <c r="D94" s="88"/>
      <c r="E94" s="88"/>
      <c r="F94" s="88"/>
      <c r="G94" s="88"/>
      <c r="H94" s="88"/>
      <c r="I94" s="88"/>
      <c r="J94" s="88"/>
      <c r="K94" s="88"/>
      <c r="L94" s="88"/>
      <c r="M94" s="88"/>
      <c r="N94" s="88"/>
    </row>
    <row r="95" spans="1:14" x14ac:dyDescent="0.25">
      <c r="A95" s="87" t="s">
        <v>101</v>
      </c>
      <c r="B95" s="90">
        <v>247609.48</v>
      </c>
      <c r="C95" s="90">
        <v>256631.95</v>
      </c>
      <c r="D95" s="90">
        <v>238979.77</v>
      </c>
      <c r="E95" s="90">
        <v>283853.02</v>
      </c>
      <c r="F95" s="90">
        <v>276412.46999999997</v>
      </c>
      <c r="G95" s="90">
        <v>257695.99</v>
      </c>
      <c r="H95" s="90">
        <v>253693.29</v>
      </c>
      <c r="I95" s="90">
        <v>257917.95</v>
      </c>
      <c r="J95" s="90">
        <v>258748.08</v>
      </c>
      <c r="K95" s="90">
        <v>246969.52</v>
      </c>
      <c r="L95" s="90">
        <v>244353.82</v>
      </c>
      <c r="M95" s="90">
        <v>259327.95</v>
      </c>
      <c r="N95" s="90">
        <v>3082193.29</v>
      </c>
    </row>
    <row r="96" spans="1:14" x14ac:dyDescent="0.25">
      <c r="A96" s="87" t="s">
        <v>102</v>
      </c>
      <c r="B96" s="90">
        <v>24935.54</v>
      </c>
      <c r="C96" s="90">
        <v>12282.48</v>
      </c>
      <c r="D96" s="90">
        <v>-8310.2000000000007</v>
      </c>
      <c r="E96" s="90">
        <v>15996.32</v>
      </c>
      <c r="F96" s="90">
        <v>8701.9</v>
      </c>
      <c r="G96" s="90">
        <v>5337.77</v>
      </c>
      <c r="H96" s="90">
        <v>6294.34</v>
      </c>
      <c r="I96" s="90">
        <v>3858.98</v>
      </c>
      <c r="J96" s="90">
        <v>-4007.56</v>
      </c>
      <c r="K96" s="90">
        <v>4569.6000000000004</v>
      </c>
      <c r="L96" s="90">
        <v>8195.7099999999991</v>
      </c>
      <c r="M96" s="90">
        <v>12645.71</v>
      </c>
      <c r="N96" s="90">
        <v>90500.59</v>
      </c>
    </row>
    <row r="97" spans="1:14" x14ac:dyDescent="0.25">
      <c r="A97" s="87" t="s">
        <v>204</v>
      </c>
      <c r="B97" s="90">
        <v>815930.09</v>
      </c>
      <c r="C97" s="90">
        <v>768415.01</v>
      </c>
      <c r="D97" s="90">
        <v>751291.72</v>
      </c>
      <c r="E97" s="90">
        <v>751885.93</v>
      </c>
      <c r="F97" s="90">
        <v>688436.32</v>
      </c>
      <c r="G97" s="90">
        <v>792552.46</v>
      </c>
      <c r="H97" s="90">
        <v>782366.28</v>
      </c>
      <c r="I97" s="90">
        <v>775660.89</v>
      </c>
      <c r="J97" s="90">
        <v>723018.15</v>
      </c>
      <c r="K97" s="90">
        <v>751988.35</v>
      </c>
      <c r="L97" s="90">
        <v>747517.47</v>
      </c>
      <c r="M97" s="90">
        <v>670106.31000000006</v>
      </c>
      <c r="N97" s="90">
        <v>9019168.9800000004</v>
      </c>
    </row>
    <row r="98" spans="1:14" x14ac:dyDescent="0.25">
      <c r="A98" s="87" t="s">
        <v>103</v>
      </c>
      <c r="B98" s="90">
        <v>4525</v>
      </c>
      <c r="C98" s="90">
        <v>2368</v>
      </c>
      <c r="D98" s="90">
        <v>2625</v>
      </c>
      <c r="E98" s="90">
        <v>1125</v>
      </c>
      <c r="F98" s="90">
        <v>1475</v>
      </c>
      <c r="G98" s="90">
        <v>3085</v>
      </c>
      <c r="H98" s="90">
        <v>3350</v>
      </c>
      <c r="I98" s="90">
        <v>2000</v>
      </c>
      <c r="J98" s="90">
        <v>1142.4000000000001</v>
      </c>
      <c r="K98" s="90">
        <v>1604</v>
      </c>
      <c r="L98" s="90">
        <v>2589.85</v>
      </c>
      <c r="M98" s="90">
        <v>2768</v>
      </c>
      <c r="N98" s="90">
        <v>28657.25</v>
      </c>
    </row>
    <row r="99" spans="1:14" x14ac:dyDescent="0.25">
      <c r="A99" s="87" t="s">
        <v>104</v>
      </c>
      <c r="B99" s="90">
        <v>17370.2</v>
      </c>
      <c r="C99" s="90">
        <v>18591.84</v>
      </c>
      <c r="D99" s="90">
        <v>16010.36</v>
      </c>
      <c r="E99" s="90">
        <v>21185.9</v>
      </c>
      <c r="F99" s="90">
        <v>30585.77</v>
      </c>
      <c r="G99" s="90">
        <v>43849.45</v>
      </c>
      <c r="H99" s="90">
        <v>10029.700000000001</v>
      </c>
      <c r="I99" s="90">
        <v>8243.76</v>
      </c>
      <c r="J99" s="90">
        <v>29138.49</v>
      </c>
      <c r="K99" s="90">
        <v>14400.32</v>
      </c>
      <c r="L99" s="90">
        <v>14963.52</v>
      </c>
      <c r="M99" s="90">
        <v>17285.03</v>
      </c>
      <c r="N99" s="90">
        <v>241654.34</v>
      </c>
    </row>
    <row r="100" spans="1:14" x14ac:dyDescent="0.25">
      <c r="A100" s="87" t="s">
        <v>205</v>
      </c>
      <c r="B100" s="90">
        <v>2810255.97</v>
      </c>
      <c r="C100" s="90">
        <v>2708697.9</v>
      </c>
      <c r="D100" s="90">
        <v>2534568.77</v>
      </c>
      <c r="E100" s="90">
        <v>2634890.2000000002</v>
      </c>
      <c r="F100" s="90">
        <v>2416740.7400000002</v>
      </c>
      <c r="G100" s="90">
        <v>2606398.29</v>
      </c>
      <c r="H100" s="90">
        <v>2478922.89</v>
      </c>
      <c r="I100" s="90">
        <v>2592146.77</v>
      </c>
      <c r="J100" s="90">
        <v>2502926.5</v>
      </c>
      <c r="K100" s="90">
        <v>2549012.77</v>
      </c>
      <c r="L100" s="90">
        <v>2521729.25</v>
      </c>
      <c r="M100" s="90">
        <v>2384124.64</v>
      </c>
      <c r="N100" s="90">
        <v>30740414.690000001</v>
      </c>
    </row>
    <row r="101" spans="1:14" x14ac:dyDescent="0.25">
      <c r="A101" s="87" t="s">
        <v>105</v>
      </c>
      <c r="B101" s="90">
        <v>11906.44</v>
      </c>
      <c r="C101" s="90">
        <v>8524.5300000000007</v>
      </c>
      <c r="D101" s="90">
        <v>10958.57</v>
      </c>
      <c r="E101" s="90">
        <v>10971.85</v>
      </c>
      <c r="F101" s="90">
        <v>9430.09</v>
      </c>
      <c r="G101" s="90">
        <v>11605.85</v>
      </c>
      <c r="H101" s="90">
        <v>10824.77</v>
      </c>
      <c r="I101" s="90">
        <v>9451.6</v>
      </c>
      <c r="J101" s="90">
        <v>8884.2999999999993</v>
      </c>
      <c r="K101" s="90">
        <v>7975.77</v>
      </c>
      <c r="L101" s="90">
        <v>10587.06</v>
      </c>
      <c r="M101" s="90">
        <v>9100.73</v>
      </c>
      <c r="N101" s="90">
        <v>120221.56</v>
      </c>
    </row>
    <row r="102" spans="1:14" x14ac:dyDescent="0.25">
      <c r="A102" s="87" t="s">
        <v>106</v>
      </c>
      <c r="B102" s="90">
        <v>1449.81</v>
      </c>
      <c r="C102" s="90">
        <v>1600.94</v>
      </c>
      <c r="D102" s="90">
        <v>1648.09</v>
      </c>
      <c r="E102" s="90">
        <v>1089.58</v>
      </c>
      <c r="F102" s="90">
        <v>446.57</v>
      </c>
      <c r="G102" s="90">
        <v>1800.5</v>
      </c>
      <c r="H102" s="90">
        <v>1440.4</v>
      </c>
      <c r="I102" s="90">
        <v>1737.14</v>
      </c>
      <c r="J102" s="90">
        <v>1593.34</v>
      </c>
      <c r="K102" s="90">
        <v>2074.79</v>
      </c>
      <c r="L102" s="90">
        <v>1788.02</v>
      </c>
      <c r="M102" s="90">
        <v>1495.4</v>
      </c>
      <c r="N102" s="90">
        <v>18164.580000000002</v>
      </c>
    </row>
    <row r="103" spans="1:14" x14ac:dyDescent="0.25">
      <c r="A103" s="87" t="s">
        <v>107</v>
      </c>
      <c r="B103" s="90">
        <v>6863.19</v>
      </c>
      <c r="C103" s="90">
        <v>11703.88</v>
      </c>
      <c r="D103" s="90">
        <v>5732.2</v>
      </c>
      <c r="E103" s="90">
        <v>8110.41</v>
      </c>
      <c r="F103" s="90">
        <v>15766.05</v>
      </c>
      <c r="G103" s="90">
        <v>6355.46</v>
      </c>
      <c r="H103" s="90">
        <v>2060.66</v>
      </c>
      <c r="I103" s="90">
        <v>604.02</v>
      </c>
      <c r="J103" s="90">
        <v>3784.02</v>
      </c>
      <c r="K103" s="90">
        <v>2600.2600000000002</v>
      </c>
      <c r="L103" s="90">
        <v>483.22</v>
      </c>
      <c r="M103" s="90">
        <v>2195.83</v>
      </c>
      <c r="N103" s="90">
        <v>66259.199999999997</v>
      </c>
    </row>
    <row r="104" spans="1:14" x14ac:dyDescent="0.25">
      <c r="A104" s="87" t="s">
        <v>206</v>
      </c>
      <c r="B104" s="90">
        <v>377638.84</v>
      </c>
      <c r="C104" s="90">
        <v>352041.99</v>
      </c>
      <c r="D104" s="90">
        <v>339107.85</v>
      </c>
      <c r="E104" s="90">
        <v>346526.69</v>
      </c>
      <c r="F104" s="90">
        <v>317587.65999999997</v>
      </c>
      <c r="G104" s="90">
        <v>336699.81</v>
      </c>
      <c r="H104" s="90">
        <v>325344.25</v>
      </c>
      <c r="I104" s="90">
        <v>329032.2</v>
      </c>
      <c r="J104" s="90">
        <v>318614.31</v>
      </c>
      <c r="K104" s="90">
        <v>327028.26</v>
      </c>
      <c r="L104" s="90">
        <v>340009.22</v>
      </c>
      <c r="M104" s="90">
        <v>315795.8</v>
      </c>
      <c r="N104" s="90">
        <v>4025426.88</v>
      </c>
    </row>
    <row r="105" spans="1:14" x14ac:dyDescent="0.25">
      <c r="A105" s="87" t="s">
        <v>108</v>
      </c>
      <c r="B105" s="90">
        <v>1531.58</v>
      </c>
      <c r="C105" s="90">
        <v>3126.35</v>
      </c>
      <c r="D105" s="90">
        <v>3214.53</v>
      </c>
      <c r="E105" s="90">
        <v>3076.35</v>
      </c>
      <c r="F105" s="90">
        <v>1800</v>
      </c>
      <c r="G105" s="90">
        <v>3770</v>
      </c>
      <c r="H105" s="90">
        <v>2816.65</v>
      </c>
      <c r="I105" s="90">
        <v>2550</v>
      </c>
      <c r="J105" s="90">
        <v>2950</v>
      </c>
      <c r="K105" s="90">
        <v>2330</v>
      </c>
      <c r="L105" s="90">
        <v>2390</v>
      </c>
      <c r="M105" s="90">
        <v>2130</v>
      </c>
      <c r="N105" s="90">
        <v>31685.46</v>
      </c>
    </row>
    <row r="106" spans="1:14" x14ac:dyDescent="0.25">
      <c r="A106" s="87" t="s">
        <v>207</v>
      </c>
      <c r="B106" s="90">
        <v>2465280.2599999998</v>
      </c>
      <c r="C106" s="90">
        <v>2434023.5699999998</v>
      </c>
      <c r="D106" s="90">
        <v>2295643.7000000002</v>
      </c>
      <c r="E106" s="90">
        <v>2296719.75</v>
      </c>
      <c r="F106" s="90">
        <v>2032896.29</v>
      </c>
      <c r="G106" s="90">
        <v>2203929.8199999998</v>
      </c>
      <c r="H106" s="90">
        <v>2125709.7400000002</v>
      </c>
      <c r="I106" s="90">
        <v>2195606.94</v>
      </c>
      <c r="J106" s="90">
        <v>2152397.0299999998</v>
      </c>
      <c r="K106" s="90">
        <v>2209148.21</v>
      </c>
      <c r="L106" s="90">
        <v>2139808.14</v>
      </c>
      <c r="M106" s="90">
        <v>2068097.03</v>
      </c>
      <c r="N106" s="90">
        <v>26619260.48</v>
      </c>
    </row>
    <row r="107" spans="1:14" x14ac:dyDescent="0.25">
      <c r="A107" s="87" t="s">
        <v>109</v>
      </c>
      <c r="B107" s="90">
        <v>12855.45</v>
      </c>
      <c r="C107" s="90">
        <v>14511.7</v>
      </c>
      <c r="D107" s="90">
        <v>16096.84</v>
      </c>
      <c r="E107" s="90">
        <v>13058.93</v>
      </c>
      <c r="F107" s="90">
        <v>9232.7000000000007</v>
      </c>
      <c r="G107" s="90">
        <v>19551.07</v>
      </c>
      <c r="H107" s="90">
        <v>13637.36</v>
      </c>
      <c r="I107" s="90">
        <v>11944.62</v>
      </c>
      <c r="J107" s="90">
        <v>10515.65</v>
      </c>
      <c r="K107" s="90">
        <v>8763.82</v>
      </c>
      <c r="L107" s="90">
        <v>9898.9699999999993</v>
      </c>
      <c r="M107" s="90">
        <v>12720.92</v>
      </c>
      <c r="N107" s="90">
        <v>152788.03</v>
      </c>
    </row>
    <row r="108" spans="1:14" x14ac:dyDescent="0.25">
      <c r="A108" s="87" t="s">
        <v>208</v>
      </c>
      <c r="B108" s="90">
        <v>95418.92</v>
      </c>
      <c r="C108" s="90">
        <v>83625.36</v>
      </c>
      <c r="D108" s="90">
        <v>73686.070000000007</v>
      </c>
      <c r="E108" s="90">
        <v>75307.960000000006</v>
      </c>
      <c r="F108" s="90">
        <v>64367.65</v>
      </c>
      <c r="G108" s="90">
        <v>69371.16</v>
      </c>
      <c r="H108" s="90">
        <v>64491.34</v>
      </c>
      <c r="I108" s="90">
        <v>68320.31</v>
      </c>
      <c r="J108" s="90">
        <v>67929.09</v>
      </c>
      <c r="K108" s="90">
        <v>61554.2</v>
      </c>
      <c r="L108" s="90">
        <v>55372.76</v>
      </c>
      <c r="M108" s="90">
        <v>63139.57</v>
      </c>
      <c r="N108" s="90">
        <v>842584.39</v>
      </c>
    </row>
    <row r="109" spans="1:14" x14ac:dyDescent="0.25">
      <c r="A109" s="87" t="s">
        <v>209</v>
      </c>
      <c r="B109" s="90">
        <v>0</v>
      </c>
      <c r="C109" s="90">
        <v>350</v>
      </c>
      <c r="D109" s="90">
        <v>3.51</v>
      </c>
      <c r="E109" s="90">
        <v>0</v>
      </c>
      <c r="F109" s="90">
        <v>0</v>
      </c>
      <c r="G109" s="90">
        <v>350</v>
      </c>
      <c r="H109" s="90">
        <v>100</v>
      </c>
      <c r="I109" s="90">
        <v>50</v>
      </c>
      <c r="J109" s="90">
        <v>0</v>
      </c>
      <c r="K109" s="90">
        <v>240</v>
      </c>
      <c r="L109" s="90">
        <v>210</v>
      </c>
      <c r="M109" s="90">
        <v>180</v>
      </c>
      <c r="N109" s="90">
        <v>1483.51</v>
      </c>
    </row>
    <row r="110" spans="1:14" x14ac:dyDescent="0.25">
      <c r="A110" s="87" t="s">
        <v>110</v>
      </c>
      <c r="B110" s="90">
        <v>9963.59</v>
      </c>
      <c r="C110" s="90">
        <v>0</v>
      </c>
      <c r="D110" s="90">
        <v>0</v>
      </c>
      <c r="E110" s="90">
        <v>1628.9</v>
      </c>
      <c r="F110" s="90">
        <v>1577.66</v>
      </c>
      <c r="G110" s="90">
        <v>1465</v>
      </c>
      <c r="H110" s="90">
        <v>4095.26</v>
      </c>
      <c r="I110" s="90">
        <v>22938.03</v>
      </c>
      <c r="J110" s="90">
        <v>53147.519999999997</v>
      </c>
      <c r="K110" s="90">
        <v>19815.03</v>
      </c>
      <c r="L110" s="90">
        <v>59112.85</v>
      </c>
      <c r="M110" s="90">
        <v>60459.08</v>
      </c>
      <c r="N110" s="90">
        <v>234202.92</v>
      </c>
    </row>
    <row r="111" spans="1:14" x14ac:dyDescent="0.25">
      <c r="A111" s="87" t="s">
        <v>210</v>
      </c>
      <c r="B111" s="90">
        <v>304411.55</v>
      </c>
      <c r="C111" s="90">
        <v>474404.56</v>
      </c>
      <c r="D111" s="90">
        <v>645694.84</v>
      </c>
      <c r="E111" s="90">
        <v>314980.68</v>
      </c>
      <c r="F111" s="90">
        <v>185877.01</v>
      </c>
      <c r="G111" s="90">
        <v>242095.58</v>
      </c>
      <c r="H111" s="90">
        <v>231275.86</v>
      </c>
      <c r="I111" s="90">
        <v>373188.61</v>
      </c>
      <c r="J111" s="90">
        <v>293689.31</v>
      </c>
      <c r="K111" s="90">
        <v>448634.44</v>
      </c>
      <c r="L111" s="90">
        <v>325587.5</v>
      </c>
      <c r="M111" s="90">
        <v>375787.3</v>
      </c>
      <c r="N111" s="90">
        <v>4215627.24</v>
      </c>
    </row>
    <row r="112" spans="1:14" x14ac:dyDescent="0.25">
      <c r="A112" s="87" t="s">
        <v>211</v>
      </c>
      <c r="B112" s="90">
        <v>8896.75</v>
      </c>
      <c r="C112" s="90">
        <v>-5231.75</v>
      </c>
      <c r="D112" s="90">
        <v>-54699.86</v>
      </c>
      <c r="E112" s="90">
        <v>6731.43</v>
      </c>
      <c r="F112" s="90">
        <v>1057.98</v>
      </c>
      <c r="G112" s="90">
        <v>7753.92</v>
      </c>
      <c r="H112" s="90">
        <v>14443.05</v>
      </c>
      <c r="I112" s="90">
        <v>-12198.04</v>
      </c>
      <c r="J112" s="90">
        <v>-19857.75</v>
      </c>
      <c r="K112" s="90">
        <v>-19067.740000000002</v>
      </c>
      <c r="L112" s="90">
        <v>-58021.97</v>
      </c>
      <c r="M112" s="90">
        <v>52406.54</v>
      </c>
      <c r="N112" s="90">
        <v>-77787.44</v>
      </c>
    </row>
    <row r="113" spans="1:14" x14ac:dyDescent="0.25">
      <c r="A113" s="87" t="s">
        <v>212</v>
      </c>
      <c r="B113" s="90">
        <v>319911.87</v>
      </c>
      <c r="C113" s="90">
        <v>321358.15999999997</v>
      </c>
      <c r="D113" s="90">
        <v>310569.52</v>
      </c>
      <c r="E113" s="90">
        <v>307770.31</v>
      </c>
      <c r="F113" s="90">
        <v>307081.59000000003</v>
      </c>
      <c r="G113" s="90">
        <v>298509.01</v>
      </c>
      <c r="H113" s="90">
        <v>291725.43</v>
      </c>
      <c r="I113" s="90">
        <v>203126.23</v>
      </c>
      <c r="J113" s="90">
        <v>205322.34</v>
      </c>
      <c r="K113" s="90">
        <v>198680.54</v>
      </c>
      <c r="L113" s="90">
        <v>182997.25</v>
      </c>
      <c r="M113" s="90">
        <v>185145.32</v>
      </c>
      <c r="N113" s="90">
        <v>3132197.57</v>
      </c>
    </row>
    <row r="114" spans="1:14" x14ac:dyDescent="0.25">
      <c r="A114" s="87" t="s">
        <v>213</v>
      </c>
      <c r="B114" s="90">
        <v>541085.5</v>
      </c>
      <c r="C114" s="90">
        <v>537500.79</v>
      </c>
      <c r="D114" s="90">
        <v>377114.88</v>
      </c>
      <c r="E114" s="90">
        <v>844930.35</v>
      </c>
      <c r="F114" s="90">
        <v>518331.44</v>
      </c>
      <c r="G114" s="90">
        <v>539567.38</v>
      </c>
      <c r="H114" s="90">
        <v>505723.54</v>
      </c>
      <c r="I114" s="90">
        <v>515302.57</v>
      </c>
      <c r="J114" s="90">
        <v>485141.97</v>
      </c>
      <c r="K114" s="90">
        <v>504373.11</v>
      </c>
      <c r="L114" s="90">
        <v>487554.89</v>
      </c>
      <c r="M114" s="90">
        <v>470498.71</v>
      </c>
      <c r="N114" s="90">
        <v>6327125.1299999999</v>
      </c>
    </row>
    <row r="115" spans="1:14" x14ac:dyDescent="0.25">
      <c r="A115" s="87" t="s">
        <v>214</v>
      </c>
      <c r="B115" s="90">
        <v>39577.040000000001</v>
      </c>
      <c r="C115" s="90">
        <v>46129.89</v>
      </c>
      <c r="D115" s="90">
        <v>40769.910000000003</v>
      </c>
      <c r="E115" s="90">
        <v>44481.53</v>
      </c>
      <c r="F115" s="90">
        <v>33217.980000000003</v>
      </c>
      <c r="G115" s="90">
        <v>38157.9</v>
      </c>
      <c r="H115" s="90">
        <v>37115.65</v>
      </c>
      <c r="I115" s="90">
        <v>37998.910000000003</v>
      </c>
      <c r="J115" s="90">
        <v>36507.199999999997</v>
      </c>
      <c r="K115" s="90">
        <v>32289.19</v>
      </c>
      <c r="L115" s="90">
        <v>35504</v>
      </c>
      <c r="M115" s="90">
        <v>59852.45</v>
      </c>
      <c r="N115" s="90">
        <v>481601.65</v>
      </c>
    </row>
    <row r="116" spans="1:14" x14ac:dyDescent="0.25">
      <c r="A116" s="87" t="s">
        <v>111</v>
      </c>
      <c r="B116" s="90">
        <v>7143.38</v>
      </c>
      <c r="C116" s="90">
        <v>8388.68</v>
      </c>
      <c r="D116" s="90">
        <v>8508.49</v>
      </c>
      <c r="E116" s="90">
        <v>7464.62</v>
      </c>
      <c r="F116" s="90">
        <v>5393.1</v>
      </c>
      <c r="G116" s="90">
        <v>4328.1400000000003</v>
      </c>
      <c r="H116" s="90">
        <v>3742.39</v>
      </c>
      <c r="I116" s="90">
        <v>4573.76</v>
      </c>
      <c r="J116" s="90">
        <v>3207.78</v>
      </c>
      <c r="K116" s="90">
        <v>2271.7800000000002</v>
      </c>
      <c r="L116" s="90">
        <v>3439.88</v>
      </c>
      <c r="M116" s="90">
        <v>2809.12</v>
      </c>
      <c r="N116" s="90">
        <v>61271.12</v>
      </c>
    </row>
    <row r="117" spans="1:14" x14ac:dyDescent="0.25">
      <c r="A117" s="87" t="s">
        <v>112</v>
      </c>
      <c r="B117" s="90">
        <v>201013.88</v>
      </c>
      <c r="C117" s="90">
        <v>206514.8</v>
      </c>
      <c r="D117" s="90">
        <v>203174.39999999999</v>
      </c>
      <c r="E117" s="90">
        <v>224615.81</v>
      </c>
      <c r="F117" s="90">
        <v>195647.83</v>
      </c>
      <c r="G117" s="90">
        <v>208472.12</v>
      </c>
      <c r="H117" s="90">
        <v>182689</v>
      </c>
      <c r="I117" s="90">
        <v>215546.03</v>
      </c>
      <c r="J117" s="90">
        <v>186291.5</v>
      </c>
      <c r="K117" s="90">
        <v>169566.64</v>
      </c>
      <c r="L117" s="90">
        <v>173027.64</v>
      </c>
      <c r="M117" s="90">
        <v>171508.53</v>
      </c>
      <c r="N117" s="90">
        <v>2338068.1800000002</v>
      </c>
    </row>
    <row r="118" spans="1:14" x14ac:dyDescent="0.25">
      <c r="A118" s="87" t="s">
        <v>113</v>
      </c>
      <c r="B118" s="90">
        <v>3772.32</v>
      </c>
      <c r="C118" s="90">
        <v>3986.13</v>
      </c>
      <c r="D118" s="90">
        <v>4220.03</v>
      </c>
      <c r="E118" s="90">
        <v>3793.29</v>
      </c>
      <c r="F118" s="90">
        <v>4436.2299999999996</v>
      </c>
      <c r="G118" s="90">
        <v>5081.4799999999996</v>
      </c>
      <c r="H118" s="90">
        <v>4516.16</v>
      </c>
      <c r="I118" s="90">
        <v>4273.78</v>
      </c>
      <c r="J118" s="90">
        <v>3656.2</v>
      </c>
      <c r="K118" s="90">
        <v>7050.1</v>
      </c>
      <c r="L118" s="90">
        <v>5030.25</v>
      </c>
      <c r="M118" s="90">
        <v>8946</v>
      </c>
      <c r="N118" s="90">
        <v>58761.97</v>
      </c>
    </row>
    <row r="119" spans="1:14" x14ac:dyDescent="0.25">
      <c r="A119" s="87" t="s">
        <v>114</v>
      </c>
      <c r="B119" s="90">
        <v>26629.88</v>
      </c>
      <c r="C119" s="90">
        <v>53372.44</v>
      </c>
      <c r="D119" s="90">
        <v>35718.559999999998</v>
      </c>
      <c r="E119" s="90">
        <v>27448.080000000002</v>
      </c>
      <c r="F119" s="90">
        <v>31423.33</v>
      </c>
      <c r="G119" s="90">
        <v>36817.440000000002</v>
      </c>
      <c r="H119" s="90">
        <v>26209.919999999998</v>
      </c>
      <c r="I119" s="90">
        <v>26144.15</v>
      </c>
      <c r="J119" s="90">
        <v>18944.439999999999</v>
      </c>
      <c r="K119" s="90">
        <v>35473.94</v>
      </c>
      <c r="L119" s="90">
        <v>26348.02</v>
      </c>
      <c r="M119" s="90">
        <v>27625.23</v>
      </c>
      <c r="N119" s="90">
        <v>372155.43</v>
      </c>
    </row>
    <row r="120" spans="1:14" x14ac:dyDescent="0.25">
      <c r="A120" s="87" t="s">
        <v>115</v>
      </c>
      <c r="B120" s="90">
        <v>78986.33</v>
      </c>
      <c r="C120" s="90">
        <v>85632.57</v>
      </c>
      <c r="D120" s="90">
        <v>86758.23</v>
      </c>
      <c r="E120" s="90">
        <v>77350.149999999994</v>
      </c>
      <c r="F120" s="90">
        <v>75783.399999999994</v>
      </c>
      <c r="G120" s="90">
        <v>80093.5</v>
      </c>
      <c r="H120" s="90">
        <v>77437.63</v>
      </c>
      <c r="I120" s="90">
        <v>93075.85</v>
      </c>
      <c r="J120" s="90">
        <v>80144.509999999995</v>
      </c>
      <c r="K120" s="90">
        <v>74900.759999999995</v>
      </c>
      <c r="L120" s="90">
        <v>88409.86</v>
      </c>
      <c r="M120" s="90">
        <v>76983</v>
      </c>
      <c r="N120" s="90">
        <v>975555.79</v>
      </c>
    </row>
    <row r="121" spans="1:14" x14ac:dyDescent="0.25">
      <c r="A121" s="87" t="s">
        <v>116</v>
      </c>
      <c r="B121" s="90">
        <v>16767.89</v>
      </c>
      <c r="C121" s="90">
        <v>2349.8200000000002</v>
      </c>
      <c r="D121" s="90">
        <v>39913.629999999997</v>
      </c>
      <c r="E121" s="90">
        <v>30499.93</v>
      </c>
      <c r="F121" s="90">
        <v>18251.259999999998</v>
      </c>
      <c r="G121" s="90">
        <v>29368</v>
      </c>
      <c r="H121" s="90">
        <v>25218.68</v>
      </c>
      <c r="I121" s="90">
        <v>-21547.46</v>
      </c>
      <c r="J121" s="90">
        <v>23007.46</v>
      </c>
      <c r="K121" s="90">
        <v>7913.06</v>
      </c>
      <c r="L121" s="90">
        <v>2657.92</v>
      </c>
      <c r="M121" s="90">
        <v>1452.26</v>
      </c>
      <c r="N121" s="90">
        <v>175852.45</v>
      </c>
    </row>
    <row r="122" spans="1:14" x14ac:dyDescent="0.25">
      <c r="A122" s="87" t="s">
        <v>117</v>
      </c>
      <c r="B122" s="90">
        <v>-360</v>
      </c>
      <c r="C122" s="90">
        <v>0</v>
      </c>
      <c r="D122" s="90">
        <v>0</v>
      </c>
      <c r="E122" s="90">
        <v>239.98</v>
      </c>
      <c r="F122" s="90">
        <v>0</v>
      </c>
      <c r="G122" s="90">
        <v>0</v>
      </c>
      <c r="H122" s="90">
        <v>0</v>
      </c>
      <c r="I122" s="90">
        <v>0</v>
      </c>
      <c r="J122" s="90">
        <v>0</v>
      </c>
      <c r="K122" s="90">
        <v>0</v>
      </c>
      <c r="L122" s="90">
        <v>0</v>
      </c>
      <c r="M122" s="90">
        <v>0</v>
      </c>
      <c r="N122" s="90">
        <v>-120.02</v>
      </c>
    </row>
    <row r="123" spans="1:14" x14ac:dyDescent="0.25">
      <c r="A123" s="87" t="s">
        <v>215</v>
      </c>
      <c r="B123" s="90">
        <v>14482.33</v>
      </c>
      <c r="C123" s="90">
        <v>9565.9500000000007</v>
      </c>
      <c r="D123" s="90">
        <v>12841.64</v>
      </c>
      <c r="E123" s="90">
        <v>19455.27</v>
      </c>
      <c r="F123" s="90">
        <v>262.45999999999998</v>
      </c>
      <c r="G123" s="90">
        <v>31.51</v>
      </c>
      <c r="H123" s="90">
        <v>36.130000000000003</v>
      </c>
      <c r="I123" s="90">
        <v>959.58</v>
      </c>
      <c r="J123" s="90">
        <v>1227.97</v>
      </c>
      <c r="K123" s="90">
        <v>2660.45</v>
      </c>
      <c r="L123" s="90">
        <v>-2315.81</v>
      </c>
      <c r="M123" s="90">
        <v>139.74</v>
      </c>
      <c r="N123" s="90">
        <v>59347.22</v>
      </c>
    </row>
    <row r="124" spans="1:14" x14ac:dyDescent="0.25">
      <c r="A124" s="87" t="s">
        <v>216</v>
      </c>
      <c r="B124" s="96">
        <v>9520.0300000000007</v>
      </c>
      <c r="C124" s="96">
        <v>14952.34</v>
      </c>
      <c r="D124" s="96">
        <v>8903.9500000000007</v>
      </c>
      <c r="E124" s="96">
        <v>10282.26</v>
      </c>
      <c r="F124" s="96">
        <v>8892.81</v>
      </c>
      <c r="G124" s="96">
        <v>6575.22</v>
      </c>
      <c r="H124" s="96">
        <v>5502.63</v>
      </c>
      <c r="I124" s="96">
        <v>6646.51</v>
      </c>
      <c r="J124" s="96">
        <v>3658.43</v>
      </c>
      <c r="K124" s="96">
        <v>4733.92</v>
      </c>
      <c r="L124" s="96">
        <v>6627.57</v>
      </c>
      <c r="M124" s="96">
        <v>6961.97</v>
      </c>
      <c r="N124" s="96">
        <v>93257.64</v>
      </c>
    </row>
    <row r="125" spans="1:14" x14ac:dyDescent="0.25">
      <c r="A125" s="94" t="s">
        <v>217</v>
      </c>
      <c r="B125" s="102">
        <v>8475373.1099999994</v>
      </c>
      <c r="C125" s="102">
        <v>8435419.8800000008</v>
      </c>
      <c r="D125" s="102">
        <v>8000745</v>
      </c>
      <c r="E125" s="102">
        <v>8385470.4800000004</v>
      </c>
      <c r="F125" s="102">
        <v>7261113.29</v>
      </c>
      <c r="G125" s="102">
        <v>7860668.8300000001</v>
      </c>
      <c r="H125" s="102">
        <v>7490813</v>
      </c>
      <c r="I125" s="102">
        <v>7729153.6900000004</v>
      </c>
      <c r="J125" s="102">
        <v>7451722.6799999997</v>
      </c>
      <c r="K125" s="102">
        <v>7679555.0899999999</v>
      </c>
      <c r="L125" s="102">
        <v>7435856.8600000003</v>
      </c>
      <c r="M125" s="102">
        <v>7321688.1699999999</v>
      </c>
      <c r="N125" s="102">
        <v>93527580.079999998</v>
      </c>
    </row>
    <row r="126" spans="1:14" x14ac:dyDescent="0.25">
      <c r="A126" s="87"/>
      <c r="B126" s="88"/>
      <c r="C126" s="88"/>
      <c r="D126" s="88"/>
      <c r="E126" s="88"/>
      <c r="F126" s="88"/>
      <c r="G126" s="88"/>
      <c r="H126" s="88"/>
      <c r="I126" s="88"/>
      <c r="J126" s="88"/>
      <c r="K126" s="88"/>
      <c r="L126" s="88"/>
      <c r="M126" s="88"/>
      <c r="N126" s="88"/>
    </row>
    <row r="127" spans="1:14" x14ac:dyDescent="0.25">
      <c r="A127" s="87" t="s">
        <v>118</v>
      </c>
      <c r="B127" s="90">
        <v>120770</v>
      </c>
      <c r="C127" s="90">
        <v>112905</v>
      </c>
      <c r="D127" s="90">
        <v>113820</v>
      </c>
      <c r="E127" s="90">
        <v>112610</v>
      </c>
      <c r="F127" s="90">
        <v>114520</v>
      </c>
      <c r="G127" s="90">
        <v>95485</v>
      </c>
      <c r="H127" s="90">
        <v>114145</v>
      </c>
      <c r="I127" s="90">
        <v>108189.99</v>
      </c>
      <c r="J127" s="90">
        <v>114020</v>
      </c>
      <c r="K127" s="90">
        <v>124805</v>
      </c>
      <c r="L127" s="90">
        <v>117125</v>
      </c>
      <c r="M127" s="90">
        <v>115520</v>
      </c>
      <c r="N127" s="90">
        <v>1363914.99</v>
      </c>
    </row>
    <row r="128" spans="1:14" x14ac:dyDescent="0.25">
      <c r="A128" s="87" t="s">
        <v>119</v>
      </c>
      <c r="B128" s="96">
        <v>42267.69</v>
      </c>
      <c r="C128" s="96">
        <v>42084.51</v>
      </c>
      <c r="D128" s="96">
        <v>42259.35</v>
      </c>
      <c r="E128" s="96">
        <v>42136.46</v>
      </c>
      <c r="F128" s="96">
        <v>41290.699999999997</v>
      </c>
      <c r="G128" s="96">
        <v>34576.36</v>
      </c>
      <c r="H128" s="96">
        <v>46822.73</v>
      </c>
      <c r="I128" s="96">
        <v>38554.65</v>
      </c>
      <c r="J128" s="96">
        <v>31466</v>
      </c>
      <c r="K128" s="96">
        <v>30150.9</v>
      </c>
      <c r="L128" s="96">
        <v>34149.300000000003</v>
      </c>
      <c r="M128" s="96">
        <v>31988.400000000001</v>
      </c>
      <c r="N128" s="96">
        <v>457747.05</v>
      </c>
    </row>
    <row r="129" spans="1:14" x14ac:dyDescent="0.25">
      <c r="A129" s="94" t="s">
        <v>120</v>
      </c>
      <c r="B129" s="102">
        <v>163037.69</v>
      </c>
      <c r="C129" s="102">
        <v>154989.51</v>
      </c>
      <c r="D129" s="102">
        <v>156079.35</v>
      </c>
      <c r="E129" s="102">
        <v>154746.46</v>
      </c>
      <c r="F129" s="102">
        <v>155810.70000000001</v>
      </c>
      <c r="G129" s="102">
        <v>130061.36</v>
      </c>
      <c r="H129" s="102">
        <v>160967.73000000001</v>
      </c>
      <c r="I129" s="102">
        <v>146744.64000000001</v>
      </c>
      <c r="J129" s="102">
        <v>145486</v>
      </c>
      <c r="K129" s="102">
        <v>154955.9</v>
      </c>
      <c r="L129" s="102">
        <v>151274.29999999999</v>
      </c>
      <c r="M129" s="102">
        <v>147508.4</v>
      </c>
      <c r="N129" s="102">
        <v>1821662.04</v>
      </c>
    </row>
    <row r="130" spans="1:14" x14ac:dyDescent="0.25">
      <c r="A130" s="87"/>
      <c r="B130" s="88"/>
      <c r="C130" s="88"/>
      <c r="D130" s="88"/>
      <c r="E130" s="88"/>
      <c r="F130" s="88"/>
      <c r="G130" s="88"/>
      <c r="H130" s="88"/>
      <c r="I130" s="88"/>
      <c r="J130" s="88"/>
      <c r="K130" s="88"/>
      <c r="L130" s="88"/>
      <c r="M130" s="88"/>
      <c r="N130" s="88"/>
    </row>
    <row r="131" spans="1:14" x14ac:dyDescent="0.25">
      <c r="A131" s="87" t="s">
        <v>218</v>
      </c>
      <c r="B131" s="90">
        <v>10603.95</v>
      </c>
      <c r="C131" s="90">
        <v>10651.05</v>
      </c>
      <c r="D131" s="90">
        <v>13551</v>
      </c>
      <c r="E131" s="90">
        <v>11138.88</v>
      </c>
      <c r="F131" s="90">
        <v>10481.35</v>
      </c>
      <c r="G131" s="90">
        <v>10506.21</v>
      </c>
      <c r="H131" s="90">
        <v>11263.73</v>
      </c>
      <c r="I131" s="90">
        <v>6170.29</v>
      </c>
      <c r="J131" s="90">
        <v>6362.39</v>
      </c>
      <c r="K131" s="90">
        <v>7449.41</v>
      </c>
      <c r="L131" s="90">
        <v>12394.63</v>
      </c>
      <c r="M131" s="90">
        <v>-4245.74</v>
      </c>
      <c r="N131" s="90">
        <v>106327.15</v>
      </c>
    </row>
    <row r="132" spans="1:14" x14ac:dyDescent="0.25">
      <c r="A132" s="87" t="s">
        <v>219</v>
      </c>
      <c r="B132" s="90">
        <v>0</v>
      </c>
      <c r="C132" s="90">
        <v>0</v>
      </c>
      <c r="D132" s="90">
        <v>0</v>
      </c>
      <c r="E132" s="90">
        <v>0</v>
      </c>
      <c r="F132" s="90">
        <v>386.57</v>
      </c>
      <c r="G132" s="90">
        <v>90.93</v>
      </c>
      <c r="H132" s="90">
        <v>0</v>
      </c>
      <c r="I132" s="90">
        <v>0</v>
      </c>
      <c r="J132" s="90">
        <v>0</v>
      </c>
      <c r="K132" s="90">
        <v>0</v>
      </c>
      <c r="L132" s="90">
        <v>38.979999999999997</v>
      </c>
      <c r="M132" s="90">
        <v>0</v>
      </c>
      <c r="N132" s="90">
        <v>516.48</v>
      </c>
    </row>
    <row r="133" spans="1:14" x14ac:dyDescent="0.25">
      <c r="A133" s="87" t="s">
        <v>220</v>
      </c>
      <c r="B133" s="90">
        <v>548.48</v>
      </c>
      <c r="C133" s="90">
        <v>45.31</v>
      </c>
      <c r="D133" s="90">
        <v>0</v>
      </c>
      <c r="E133" s="90">
        <v>2372.23</v>
      </c>
      <c r="F133" s="90">
        <v>104.5</v>
      </c>
      <c r="G133" s="90">
        <v>950.64</v>
      </c>
      <c r="H133" s="90">
        <v>704.79</v>
      </c>
      <c r="I133" s="90">
        <v>32.21</v>
      </c>
      <c r="J133" s="90">
        <v>0</v>
      </c>
      <c r="K133" s="90">
        <v>9</v>
      </c>
      <c r="L133" s="90">
        <v>627</v>
      </c>
      <c r="M133" s="90">
        <v>208.63</v>
      </c>
      <c r="N133" s="90">
        <v>5602.79</v>
      </c>
    </row>
    <row r="134" spans="1:14" x14ac:dyDescent="0.25">
      <c r="A134" s="87" t="s">
        <v>121</v>
      </c>
      <c r="B134" s="90">
        <v>3239.68</v>
      </c>
      <c r="C134" s="90">
        <v>1530.7</v>
      </c>
      <c r="D134" s="90">
        <v>2252.63</v>
      </c>
      <c r="E134" s="90">
        <v>1862.07</v>
      </c>
      <c r="F134" s="90">
        <v>2056.9899999999998</v>
      </c>
      <c r="G134" s="90">
        <v>1345.81</v>
      </c>
      <c r="H134" s="90">
        <v>1352.81</v>
      </c>
      <c r="I134" s="90">
        <v>704.53</v>
      </c>
      <c r="J134" s="90">
        <v>876.94</v>
      </c>
      <c r="K134" s="90">
        <v>1516.78</v>
      </c>
      <c r="L134" s="90">
        <v>948.07</v>
      </c>
      <c r="M134" s="90">
        <v>700</v>
      </c>
      <c r="N134" s="90">
        <v>18387.009999999998</v>
      </c>
    </row>
    <row r="135" spans="1:14" x14ac:dyDescent="0.25">
      <c r="A135" s="87" t="s">
        <v>221</v>
      </c>
      <c r="B135" s="90">
        <v>135183.32</v>
      </c>
      <c r="C135" s="90">
        <v>129777.56</v>
      </c>
      <c r="D135" s="90">
        <v>122496.56</v>
      </c>
      <c r="E135" s="90">
        <v>144549.49</v>
      </c>
      <c r="F135" s="90">
        <v>147905.74</v>
      </c>
      <c r="G135" s="90">
        <v>144160.01</v>
      </c>
      <c r="H135" s="90">
        <v>145668.39000000001</v>
      </c>
      <c r="I135" s="90">
        <v>142533.57</v>
      </c>
      <c r="J135" s="90">
        <v>137279.15</v>
      </c>
      <c r="K135" s="90">
        <v>136722.97</v>
      </c>
      <c r="L135" s="90">
        <v>132403.31</v>
      </c>
      <c r="M135" s="90">
        <v>144837.26</v>
      </c>
      <c r="N135" s="90">
        <v>1663517.33</v>
      </c>
    </row>
    <row r="136" spans="1:14" x14ac:dyDescent="0.25">
      <c r="A136" s="87" t="s">
        <v>222</v>
      </c>
      <c r="B136" s="90">
        <v>43964.28</v>
      </c>
      <c r="C136" s="90">
        <v>39610.82</v>
      </c>
      <c r="D136" s="90">
        <v>37983.21</v>
      </c>
      <c r="E136" s="90">
        <v>40785.24</v>
      </c>
      <c r="F136" s="90">
        <v>42991.76</v>
      </c>
      <c r="G136" s="90">
        <v>48328.1</v>
      </c>
      <c r="H136" s="90">
        <v>42967.27</v>
      </c>
      <c r="I136" s="90">
        <v>39179.129999999997</v>
      </c>
      <c r="J136" s="90">
        <v>39543.9</v>
      </c>
      <c r="K136" s="90">
        <v>41910.400000000001</v>
      </c>
      <c r="L136" s="90">
        <v>47813.07</v>
      </c>
      <c r="M136" s="90">
        <v>40907.440000000002</v>
      </c>
      <c r="N136" s="90">
        <v>505984.62</v>
      </c>
    </row>
    <row r="137" spans="1:14" x14ac:dyDescent="0.25">
      <c r="A137" s="87" t="s">
        <v>223</v>
      </c>
      <c r="B137" s="90">
        <v>17248.37</v>
      </c>
      <c r="C137" s="90">
        <v>17014.650000000001</v>
      </c>
      <c r="D137" s="90">
        <v>17178.150000000001</v>
      </c>
      <c r="E137" s="90">
        <v>15870.24</v>
      </c>
      <c r="F137" s="90">
        <v>13392.58</v>
      </c>
      <c r="G137" s="90">
        <v>13996.19</v>
      </c>
      <c r="H137" s="90">
        <v>17358.45</v>
      </c>
      <c r="I137" s="90">
        <v>14414.01</v>
      </c>
      <c r="J137" s="90">
        <v>11263.75</v>
      </c>
      <c r="K137" s="90">
        <v>11069.01</v>
      </c>
      <c r="L137" s="90">
        <v>10222.15</v>
      </c>
      <c r="M137" s="90">
        <v>12240.56</v>
      </c>
      <c r="N137" s="90">
        <v>171268.11</v>
      </c>
    </row>
    <row r="138" spans="1:14" x14ac:dyDescent="0.25">
      <c r="A138" s="87" t="s">
        <v>224</v>
      </c>
      <c r="B138" s="90">
        <v>0</v>
      </c>
      <c r="C138" s="90">
        <v>1500</v>
      </c>
      <c r="D138" s="90">
        <v>0</v>
      </c>
      <c r="E138" s="90">
        <v>100</v>
      </c>
      <c r="F138" s="90">
        <v>0</v>
      </c>
      <c r="G138" s="90">
        <v>0</v>
      </c>
      <c r="H138" s="90">
        <v>0</v>
      </c>
      <c r="I138" s="90">
        <v>0</v>
      </c>
      <c r="J138" s="90">
        <v>100</v>
      </c>
      <c r="K138" s="90">
        <v>0</v>
      </c>
      <c r="L138" s="90">
        <v>0</v>
      </c>
      <c r="M138" s="90">
        <v>0</v>
      </c>
      <c r="N138" s="90">
        <v>1700</v>
      </c>
    </row>
    <row r="139" spans="1:14" x14ac:dyDescent="0.25">
      <c r="A139" s="87" t="s">
        <v>122</v>
      </c>
      <c r="B139" s="90">
        <v>558.48</v>
      </c>
      <c r="C139" s="90">
        <v>418.6</v>
      </c>
      <c r="D139" s="90">
        <v>431.34</v>
      </c>
      <c r="E139" s="90">
        <v>528.05999999999995</v>
      </c>
      <c r="F139" s="90">
        <v>480.48</v>
      </c>
      <c r="G139" s="90">
        <v>225.42</v>
      </c>
      <c r="H139" s="90">
        <v>470.34</v>
      </c>
      <c r="I139" s="90">
        <v>452.92</v>
      </c>
      <c r="J139" s="90">
        <v>328.9</v>
      </c>
      <c r="K139" s="90">
        <v>290.42</v>
      </c>
      <c r="L139" s="90">
        <v>307.58</v>
      </c>
      <c r="M139" s="90">
        <v>276.64</v>
      </c>
      <c r="N139" s="90">
        <v>4769.18</v>
      </c>
    </row>
    <row r="140" spans="1:14" x14ac:dyDescent="0.25">
      <c r="A140" s="87" t="s">
        <v>225</v>
      </c>
      <c r="B140" s="90">
        <v>120795.93</v>
      </c>
      <c r="C140" s="90">
        <v>108370.72</v>
      </c>
      <c r="D140" s="90">
        <v>95259.839999999997</v>
      </c>
      <c r="E140" s="90">
        <v>107213.04</v>
      </c>
      <c r="F140" s="90">
        <v>104421.25</v>
      </c>
      <c r="G140" s="90">
        <v>121342.23</v>
      </c>
      <c r="H140" s="90">
        <v>111053</v>
      </c>
      <c r="I140" s="90">
        <v>117572.68</v>
      </c>
      <c r="J140" s="90">
        <v>98882.99</v>
      </c>
      <c r="K140" s="90">
        <v>100214.06</v>
      </c>
      <c r="L140" s="90">
        <v>107652.6</v>
      </c>
      <c r="M140" s="90">
        <v>91103.48</v>
      </c>
      <c r="N140" s="90">
        <v>1283881.82</v>
      </c>
    </row>
    <row r="141" spans="1:14" x14ac:dyDescent="0.25">
      <c r="A141" s="87" t="s">
        <v>123</v>
      </c>
      <c r="B141" s="90">
        <v>0</v>
      </c>
      <c r="C141" s="90">
        <v>0</v>
      </c>
      <c r="D141" s="90">
        <v>0</v>
      </c>
      <c r="E141" s="90">
        <v>0</v>
      </c>
      <c r="F141" s="90">
        <v>50</v>
      </c>
      <c r="G141" s="90">
        <v>50</v>
      </c>
      <c r="H141" s="90">
        <v>0</v>
      </c>
      <c r="I141" s="90">
        <v>0</v>
      </c>
      <c r="J141" s="90">
        <v>0</v>
      </c>
      <c r="K141" s="90">
        <v>0</v>
      </c>
      <c r="L141" s="90">
        <v>75</v>
      </c>
      <c r="M141" s="90">
        <v>0</v>
      </c>
      <c r="N141" s="90">
        <v>175</v>
      </c>
    </row>
    <row r="142" spans="1:14" x14ac:dyDescent="0.25">
      <c r="A142" s="87" t="s">
        <v>226</v>
      </c>
      <c r="B142" s="90">
        <v>55704.11</v>
      </c>
      <c r="C142" s="90">
        <v>56340.76</v>
      </c>
      <c r="D142" s="90">
        <v>52904.67</v>
      </c>
      <c r="E142" s="90">
        <v>54972.14</v>
      </c>
      <c r="F142" s="90">
        <v>49858.9</v>
      </c>
      <c r="G142" s="90">
        <v>49924.14</v>
      </c>
      <c r="H142" s="90">
        <v>52074.92</v>
      </c>
      <c r="I142" s="90">
        <v>54431.67</v>
      </c>
      <c r="J142" s="90">
        <v>56131.47</v>
      </c>
      <c r="K142" s="90">
        <v>53013.56</v>
      </c>
      <c r="L142" s="90">
        <v>46514.93</v>
      </c>
      <c r="M142" s="90">
        <v>40074.370000000003</v>
      </c>
      <c r="N142" s="90">
        <v>621945.64</v>
      </c>
    </row>
    <row r="143" spans="1:14" x14ac:dyDescent="0.25">
      <c r="A143" s="87" t="s">
        <v>124</v>
      </c>
      <c r="B143" s="90">
        <v>0</v>
      </c>
      <c r="C143" s="90">
        <v>0</v>
      </c>
      <c r="D143" s="90">
        <v>0</v>
      </c>
      <c r="E143" s="90">
        <v>0</v>
      </c>
      <c r="F143" s="90">
        <v>25</v>
      </c>
      <c r="G143" s="90">
        <v>91.65</v>
      </c>
      <c r="H143" s="90">
        <v>0</v>
      </c>
      <c r="I143" s="90">
        <v>50</v>
      </c>
      <c r="J143" s="90">
        <v>41.65</v>
      </c>
      <c r="K143" s="90">
        <v>0</v>
      </c>
      <c r="L143" s="90">
        <v>0</v>
      </c>
      <c r="M143" s="90">
        <v>0</v>
      </c>
      <c r="N143" s="90">
        <v>208.3</v>
      </c>
    </row>
    <row r="144" spans="1:14" ht="23.25" x14ac:dyDescent="0.25">
      <c r="A144" s="87" t="s">
        <v>227</v>
      </c>
      <c r="B144" s="90">
        <v>18199.310000000001</v>
      </c>
      <c r="C144" s="90">
        <v>36919.629999999997</v>
      </c>
      <c r="D144" s="90">
        <v>55362.6</v>
      </c>
      <c r="E144" s="90">
        <v>20421.95</v>
      </c>
      <c r="F144" s="90">
        <v>12635.65</v>
      </c>
      <c r="G144" s="90">
        <v>16520.990000000002</v>
      </c>
      <c r="H144" s="90">
        <v>13332.43</v>
      </c>
      <c r="I144" s="90">
        <v>18973.8</v>
      </c>
      <c r="J144" s="90">
        <v>18116.990000000002</v>
      </c>
      <c r="K144" s="90">
        <v>27495.39</v>
      </c>
      <c r="L144" s="90">
        <v>22349.62</v>
      </c>
      <c r="M144" s="90">
        <v>22304.63</v>
      </c>
      <c r="N144" s="90">
        <v>282632.99</v>
      </c>
    </row>
    <row r="145" spans="1:14" ht="23.25" x14ac:dyDescent="0.25">
      <c r="A145" s="87" t="s">
        <v>228</v>
      </c>
      <c r="B145" s="90">
        <v>-770.32</v>
      </c>
      <c r="C145" s="90">
        <v>-1091.06</v>
      </c>
      <c r="D145" s="90">
        <v>-4289.49</v>
      </c>
      <c r="E145" s="90">
        <v>699.06</v>
      </c>
      <c r="F145" s="90">
        <v>2239.9</v>
      </c>
      <c r="G145" s="90">
        <v>-1488.2</v>
      </c>
      <c r="H145" s="90">
        <v>3960.88</v>
      </c>
      <c r="I145" s="90">
        <v>-266.54000000000002</v>
      </c>
      <c r="J145" s="90">
        <v>-1349.86</v>
      </c>
      <c r="K145" s="90">
        <v>-5580.82</v>
      </c>
      <c r="L145" s="90">
        <v>-3598.86</v>
      </c>
      <c r="M145" s="90">
        <v>6375.32</v>
      </c>
      <c r="N145" s="90">
        <v>-5159.99</v>
      </c>
    </row>
    <row r="146" spans="1:14" ht="23.25" x14ac:dyDescent="0.25">
      <c r="A146" s="87" t="s">
        <v>229</v>
      </c>
      <c r="B146" s="90">
        <v>24743.599999999999</v>
      </c>
      <c r="C146" s="90">
        <v>23949.74</v>
      </c>
      <c r="D146" s="90">
        <v>23381.26</v>
      </c>
      <c r="E146" s="90">
        <v>22328.97</v>
      </c>
      <c r="F146" s="90">
        <v>21796.28</v>
      </c>
      <c r="G146" s="90">
        <v>21439.84</v>
      </c>
      <c r="H146" s="90">
        <v>22330.83</v>
      </c>
      <c r="I146" s="90">
        <v>17970.900000000001</v>
      </c>
      <c r="J146" s="90">
        <v>15419.66</v>
      </c>
      <c r="K146" s="90">
        <v>13655.05</v>
      </c>
      <c r="L146" s="90">
        <v>12159.87</v>
      </c>
      <c r="M146" s="90">
        <v>12308.55</v>
      </c>
      <c r="N146" s="90">
        <v>231484.55</v>
      </c>
    </row>
    <row r="147" spans="1:14" ht="23.25" x14ac:dyDescent="0.25">
      <c r="A147" s="87" t="s">
        <v>230</v>
      </c>
      <c r="B147" s="90">
        <v>28783.01</v>
      </c>
      <c r="C147" s="90">
        <v>28811.66</v>
      </c>
      <c r="D147" s="90">
        <v>20922.77</v>
      </c>
      <c r="E147" s="90">
        <v>48049.82</v>
      </c>
      <c r="F147" s="90">
        <v>32484.02</v>
      </c>
      <c r="G147" s="90">
        <v>30996.07</v>
      </c>
      <c r="H147" s="90">
        <v>27635.43</v>
      </c>
      <c r="I147" s="90">
        <v>27503.24</v>
      </c>
      <c r="J147" s="90">
        <v>25498.07</v>
      </c>
      <c r="K147" s="90">
        <v>26047.96</v>
      </c>
      <c r="L147" s="90">
        <v>24808.63</v>
      </c>
      <c r="M147" s="90">
        <v>23724.880000000001</v>
      </c>
      <c r="N147" s="90">
        <v>345265.56</v>
      </c>
    </row>
    <row r="148" spans="1:14" x14ac:dyDescent="0.25">
      <c r="A148" s="87" t="s">
        <v>125</v>
      </c>
      <c r="B148" s="90">
        <v>6675.74</v>
      </c>
      <c r="C148" s="90">
        <v>7506.98</v>
      </c>
      <c r="D148" s="90">
        <v>8888.08</v>
      </c>
      <c r="E148" s="90">
        <v>9735.99</v>
      </c>
      <c r="F148" s="90">
        <v>7698.46</v>
      </c>
      <c r="G148" s="90">
        <v>9543.09</v>
      </c>
      <c r="H148" s="90">
        <v>8790.02</v>
      </c>
      <c r="I148" s="90">
        <v>6577.31</v>
      </c>
      <c r="J148" s="90">
        <v>7384.19</v>
      </c>
      <c r="K148" s="90">
        <v>5900.45</v>
      </c>
      <c r="L148" s="90">
        <v>6634.8</v>
      </c>
      <c r="M148" s="90">
        <v>6430.22</v>
      </c>
      <c r="N148" s="90">
        <v>91765.33</v>
      </c>
    </row>
    <row r="149" spans="1:14" x14ac:dyDescent="0.25">
      <c r="A149" s="87" t="s">
        <v>126</v>
      </c>
      <c r="B149" s="96">
        <v>20099.38</v>
      </c>
      <c r="C149" s="96">
        <v>32195.29</v>
      </c>
      <c r="D149" s="96">
        <v>15164.69</v>
      </c>
      <c r="E149" s="96">
        <v>19646.43</v>
      </c>
      <c r="F149" s="96">
        <v>7951.97</v>
      </c>
      <c r="G149" s="96">
        <v>1570.58</v>
      </c>
      <c r="H149" s="96">
        <v>20621.21</v>
      </c>
      <c r="I149" s="96">
        <v>23188.51</v>
      </c>
      <c r="J149" s="96">
        <v>5279.72</v>
      </c>
      <c r="K149" s="96">
        <v>1116.07</v>
      </c>
      <c r="L149" s="96">
        <v>16537.849999999999</v>
      </c>
      <c r="M149" s="96">
        <v>8734.33</v>
      </c>
      <c r="N149" s="96">
        <v>172106.03</v>
      </c>
    </row>
    <row r="150" spans="1:14" x14ac:dyDescent="0.25">
      <c r="A150" s="94" t="s">
        <v>127</v>
      </c>
      <c r="B150" s="102">
        <v>485577.32</v>
      </c>
      <c r="C150" s="102">
        <v>493552.41</v>
      </c>
      <c r="D150" s="102">
        <v>461487.31</v>
      </c>
      <c r="E150" s="102">
        <v>500273.61</v>
      </c>
      <c r="F150" s="102">
        <v>456961.4</v>
      </c>
      <c r="G150" s="102">
        <v>469593.7</v>
      </c>
      <c r="H150" s="102">
        <v>479584.5</v>
      </c>
      <c r="I150" s="102">
        <v>469488.23</v>
      </c>
      <c r="J150" s="102">
        <v>421159.91</v>
      </c>
      <c r="K150" s="102">
        <v>420829.71</v>
      </c>
      <c r="L150" s="102">
        <v>437889.23</v>
      </c>
      <c r="M150" s="102">
        <v>405980.57</v>
      </c>
      <c r="N150" s="102">
        <v>5502377.9000000004</v>
      </c>
    </row>
    <row r="151" spans="1:14" x14ac:dyDescent="0.25">
      <c r="A151" s="87"/>
      <c r="B151" s="88"/>
      <c r="C151" s="88"/>
      <c r="D151" s="88"/>
      <c r="E151" s="88"/>
      <c r="F151" s="88"/>
      <c r="G151" s="88"/>
      <c r="H151" s="88"/>
      <c r="I151" s="88"/>
      <c r="J151" s="88"/>
      <c r="K151" s="88"/>
      <c r="L151" s="88"/>
      <c r="M151" s="88"/>
      <c r="N151" s="88"/>
    </row>
    <row r="152" spans="1:14" x14ac:dyDescent="0.25">
      <c r="A152" s="87" t="s">
        <v>231</v>
      </c>
      <c r="B152" s="90">
        <v>1278856.8500000001</v>
      </c>
      <c r="C152" s="90">
        <v>1116115.5</v>
      </c>
      <c r="D152" s="90">
        <v>1135195.98</v>
      </c>
      <c r="E152" s="90">
        <v>1215603.1000000001</v>
      </c>
      <c r="F152" s="90">
        <v>1165844.95</v>
      </c>
      <c r="G152" s="90">
        <v>1180869.3999999999</v>
      </c>
      <c r="H152" s="90">
        <v>1116165.57</v>
      </c>
      <c r="I152" s="90">
        <v>1003253.73</v>
      </c>
      <c r="J152" s="90">
        <v>961751.5</v>
      </c>
      <c r="K152" s="90">
        <v>988298.25</v>
      </c>
      <c r="L152" s="90">
        <v>998758.9</v>
      </c>
      <c r="M152" s="90">
        <v>981597.52</v>
      </c>
      <c r="N152" s="90">
        <v>13142311.25</v>
      </c>
    </row>
    <row r="153" spans="1:14" x14ac:dyDescent="0.25">
      <c r="A153" s="87" t="s">
        <v>232</v>
      </c>
      <c r="B153" s="90">
        <v>1545142.29</v>
      </c>
      <c r="C153" s="90">
        <v>1541801.39</v>
      </c>
      <c r="D153" s="90">
        <v>1382717.95</v>
      </c>
      <c r="E153" s="90">
        <v>1449885.01</v>
      </c>
      <c r="F153" s="90">
        <v>1173928.67</v>
      </c>
      <c r="G153" s="90">
        <v>1484629.05</v>
      </c>
      <c r="H153" s="90">
        <v>1396258.53</v>
      </c>
      <c r="I153" s="90">
        <v>1569124.48</v>
      </c>
      <c r="J153" s="90">
        <v>1444648.75</v>
      </c>
      <c r="K153" s="90">
        <v>1530583.03</v>
      </c>
      <c r="L153" s="90">
        <v>1577186.59</v>
      </c>
      <c r="M153" s="90">
        <v>1376690.14</v>
      </c>
      <c r="N153" s="90">
        <v>17472595.879999999</v>
      </c>
    </row>
    <row r="154" spans="1:14" x14ac:dyDescent="0.25">
      <c r="A154" s="87" t="s">
        <v>233</v>
      </c>
      <c r="B154" s="90">
        <v>433510.64</v>
      </c>
      <c r="C154" s="90">
        <v>467621.68</v>
      </c>
      <c r="D154" s="90">
        <v>445830.69</v>
      </c>
      <c r="E154" s="90">
        <v>564126.93000000005</v>
      </c>
      <c r="F154" s="90">
        <v>495978.08</v>
      </c>
      <c r="G154" s="90">
        <v>510270.29</v>
      </c>
      <c r="H154" s="90">
        <v>516400.13</v>
      </c>
      <c r="I154" s="90">
        <v>502291.95</v>
      </c>
      <c r="J154" s="90">
        <v>440647.69</v>
      </c>
      <c r="K154" s="90">
        <v>463506.56</v>
      </c>
      <c r="L154" s="90">
        <v>486502.52</v>
      </c>
      <c r="M154" s="90">
        <v>458060.57</v>
      </c>
      <c r="N154" s="90">
        <v>5784747.7300000004</v>
      </c>
    </row>
    <row r="155" spans="1:14" x14ac:dyDescent="0.25">
      <c r="A155" s="87" t="s">
        <v>234</v>
      </c>
      <c r="B155" s="90">
        <v>21699.58</v>
      </c>
      <c r="C155" s="90">
        <v>14380.32</v>
      </c>
      <c r="D155" s="90">
        <v>10052.5</v>
      </c>
      <c r="E155" s="90">
        <v>13098.89</v>
      </c>
      <c r="F155" s="90">
        <v>49237.35</v>
      </c>
      <c r="G155" s="90">
        <v>33801.410000000003</v>
      </c>
      <c r="H155" s="90">
        <v>24210.16</v>
      </c>
      <c r="I155" s="90">
        <v>24276.84</v>
      </c>
      <c r="J155" s="90">
        <v>21902.65</v>
      </c>
      <c r="K155" s="90">
        <v>19774.12</v>
      </c>
      <c r="L155" s="90">
        <v>21791.52</v>
      </c>
      <c r="M155" s="90">
        <v>20111.88</v>
      </c>
      <c r="N155" s="90">
        <v>274337.21999999997</v>
      </c>
    </row>
    <row r="156" spans="1:14" x14ac:dyDescent="0.25">
      <c r="A156" s="87" t="s">
        <v>235</v>
      </c>
      <c r="B156" s="90">
        <v>0</v>
      </c>
      <c r="C156" s="90">
        <v>0</v>
      </c>
      <c r="D156" s="90">
        <v>0</v>
      </c>
      <c r="E156" s="90">
        <v>0</v>
      </c>
      <c r="F156" s="90">
        <v>0</v>
      </c>
      <c r="G156" s="90">
        <v>0</v>
      </c>
      <c r="H156" s="90">
        <v>3118.18</v>
      </c>
      <c r="I156" s="90">
        <v>12411.52</v>
      </c>
      <c r="J156" s="90">
        <v>10051.86</v>
      </c>
      <c r="K156" s="90">
        <v>10805.71</v>
      </c>
      <c r="L156" s="90">
        <v>14322.82</v>
      </c>
      <c r="M156" s="90">
        <v>10567.79</v>
      </c>
      <c r="N156" s="90">
        <v>61277.88</v>
      </c>
    </row>
    <row r="157" spans="1:14" x14ac:dyDescent="0.25">
      <c r="A157" s="87" t="s">
        <v>351</v>
      </c>
      <c r="B157" s="90">
        <v>0</v>
      </c>
      <c r="C157" s="90">
        <v>0</v>
      </c>
      <c r="D157" s="90">
        <v>0</v>
      </c>
      <c r="E157" s="90">
        <v>0</v>
      </c>
      <c r="F157" s="90">
        <v>0</v>
      </c>
      <c r="G157" s="90">
        <v>0</v>
      </c>
      <c r="H157" s="90">
        <v>0</v>
      </c>
      <c r="I157" s="90">
        <v>0</v>
      </c>
      <c r="J157" s="90">
        <v>0</v>
      </c>
      <c r="K157" s="90">
        <v>0</v>
      </c>
      <c r="L157" s="90">
        <v>0</v>
      </c>
      <c r="M157" s="90">
        <v>500</v>
      </c>
      <c r="N157" s="90">
        <v>500</v>
      </c>
    </row>
    <row r="158" spans="1:14" x14ac:dyDescent="0.25">
      <c r="A158" s="87" t="s">
        <v>236</v>
      </c>
      <c r="B158" s="90">
        <v>1004.88</v>
      </c>
      <c r="C158" s="90">
        <v>1380.21</v>
      </c>
      <c r="D158" s="90">
        <v>1756.89</v>
      </c>
      <c r="E158" s="90">
        <v>0</v>
      </c>
      <c r="F158" s="90">
        <v>432.68</v>
      </c>
      <c r="G158" s="90">
        <v>0</v>
      </c>
      <c r="H158" s="90">
        <v>864</v>
      </c>
      <c r="I158" s="90">
        <v>1916.46</v>
      </c>
      <c r="J158" s="90">
        <v>623.41999999999996</v>
      </c>
      <c r="K158" s="90">
        <v>3747.61</v>
      </c>
      <c r="L158" s="90">
        <v>264</v>
      </c>
      <c r="M158" s="90">
        <v>1372.23</v>
      </c>
      <c r="N158" s="90">
        <v>13362.38</v>
      </c>
    </row>
    <row r="159" spans="1:14" x14ac:dyDescent="0.25">
      <c r="A159" s="87" t="s">
        <v>237</v>
      </c>
      <c r="B159" s="90">
        <v>50.31</v>
      </c>
      <c r="C159" s="90">
        <v>-110.24</v>
      </c>
      <c r="D159" s="90">
        <v>-854.08</v>
      </c>
      <c r="E159" s="90">
        <v>914.9</v>
      </c>
      <c r="F159" s="90">
        <v>-159.71</v>
      </c>
      <c r="G159" s="90">
        <v>85.99</v>
      </c>
      <c r="H159" s="90">
        <v>150.01</v>
      </c>
      <c r="I159" s="90">
        <v>1568.57</v>
      </c>
      <c r="J159" s="90">
        <v>-1405.15</v>
      </c>
      <c r="K159" s="90">
        <v>-122.35</v>
      </c>
      <c r="L159" s="90">
        <v>-1032.26</v>
      </c>
      <c r="M159" s="90">
        <v>1282.74</v>
      </c>
      <c r="N159" s="90">
        <v>368.73</v>
      </c>
    </row>
    <row r="160" spans="1:14" x14ac:dyDescent="0.25">
      <c r="A160" s="87" t="s">
        <v>238</v>
      </c>
      <c r="B160" s="90">
        <v>585.79</v>
      </c>
      <c r="C160" s="90">
        <v>550.14</v>
      </c>
      <c r="D160" s="90">
        <v>336.24</v>
      </c>
      <c r="E160" s="90">
        <v>621.44000000000005</v>
      </c>
      <c r="F160" s="90">
        <v>1114.95</v>
      </c>
      <c r="G160" s="90">
        <v>1260.92</v>
      </c>
      <c r="H160" s="90">
        <v>1432.29</v>
      </c>
      <c r="I160" s="90">
        <v>1545.75</v>
      </c>
      <c r="J160" s="90">
        <v>1741.84</v>
      </c>
      <c r="K160" s="90">
        <v>1265.04</v>
      </c>
      <c r="L160" s="90">
        <v>1817.59</v>
      </c>
      <c r="M160" s="90">
        <v>1608.16</v>
      </c>
      <c r="N160" s="90">
        <v>13880.15</v>
      </c>
    </row>
    <row r="161" spans="1:14" x14ac:dyDescent="0.25">
      <c r="A161" s="87" t="s">
        <v>239</v>
      </c>
      <c r="B161" s="90">
        <v>2517.9699999999998</v>
      </c>
      <c r="C161" s="90">
        <v>2497.6999999999998</v>
      </c>
      <c r="D161" s="90">
        <v>1799.07</v>
      </c>
      <c r="E161" s="90">
        <v>3594.27</v>
      </c>
      <c r="F161" s="90">
        <v>2705.72</v>
      </c>
      <c r="G161" s="90">
        <v>2623.88</v>
      </c>
      <c r="H161" s="90">
        <v>2177.71</v>
      </c>
      <c r="I161" s="90">
        <v>2351.38</v>
      </c>
      <c r="J161" s="90">
        <v>2424.83</v>
      </c>
      <c r="K161" s="90">
        <v>2142.44</v>
      </c>
      <c r="L161" s="90">
        <v>2416.63</v>
      </c>
      <c r="M161" s="90">
        <v>2301.9899999999998</v>
      </c>
      <c r="N161" s="90">
        <v>29553.59</v>
      </c>
    </row>
    <row r="162" spans="1:14" x14ac:dyDescent="0.25">
      <c r="A162" s="87" t="s">
        <v>128</v>
      </c>
      <c r="B162" s="90">
        <v>7946.7</v>
      </c>
      <c r="C162" s="90">
        <v>9450.65</v>
      </c>
      <c r="D162" s="90">
        <v>5494.07</v>
      </c>
      <c r="E162" s="90">
        <v>7531.28</v>
      </c>
      <c r="F162" s="90">
        <v>8035.77</v>
      </c>
      <c r="G162" s="90">
        <v>5639.74</v>
      </c>
      <c r="H162" s="90">
        <v>9395.24</v>
      </c>
      <c r="I162" s="90">
        <v>13881.28</v>
      </c>
      <c r="J162" s="90">
        <v>7187.32</v>
      </c>
      <c r="K162" s="90">
        <v>9009.99</v>
      </c>
      <c r="L162" s="90">
        <v>9195.9599999999991</v>
      </c>
      <c r="M162" s="90">
        <v>7233.9</v>
      </c>
      <c r="N162" s="90">
        <v>100001.9</v>
      </c>
    </row>
    <row r="163" spans="1:14" x14ac:dyDescent="0.25">
      <c r="A163" s="87" t="s">
        <v>129</v>
      </c>
      <c r="B163" s="90">
        <v>16637.77</v>
      </c>
      <c r="C163" s="90">
        <v>20389.28</v>
      </c>
      <c r="D163" s="90">
        <v>35735.39</v>
      </c>
      <c r="E163" s="90">
        <v>26654.99</v>
      </c>
      <c r="F163" s="90">
        <v>49339.6</v>
      </c>
      <c r="G163" s="90">
        <v>65419.09</v>
      </c>
      <c r="H163" s="90">
        <v>34827.480000000003</v>
      </c>
      <c r="I163" s="90">
        <v>46544.15</v>
      </c>
      <c r="J163" s="90">
        <v>55969.52</v>
      </c>
      <c r="K163" s="90">
        <v>34987.800000000003</v>
      </c>
      <c r="L163" s="90">
        <v>35122.639999999999</v>
      </c>
      <c r="M163" s="90">
        <v>33645.35</v>
      </c>
      <c r="N163" s="90">
        <v>455273.06</v>
      </c>
    </row>
    <row r="164" spans="1:14" x14ac:dyDescent="0.25">
      <c r="A164" s="87" t="s">
        <v>240</v>
      </c>
      <c r="B164" s="90">
        <v>6561.65</v>
      </c>
      <c r="C164" s="90">
        <v>7145.54</v>
      </c>
      <c r="D164" s="90">
        <v>5122.12</v>
      </c>
      <c r="E164" s="90">
        <v>13726.48</v>
      </c>
      <c r="F164" s="90">
        <v>5914</v>
      </c>
      <c r="G164" s="90">
        <v>18874.169999999998</v>
      </c>
      <c r="H164" s="90">
        <v>14939.17</v>
      </c>
      <c r="I164" s="90">
        <v>11249</v>
      </c>
      <c r="J164" s="90">
        <v>16640.22</v>
      </c>
      <c r="K164" s="90">
        <v>18352.7</v>
      </c>
      <c r="L164" s="90">
        <v>14881.14</v>
      </c>
      <c r="M164" s="90">
        <v>9956</v>
      </c>
      <c r="N164" s="90">
        <v>143362.19</v>
      </c>
    </row>
    <row r="165" spans="1:14" x14ac:dyDescent="0.25">
      <c r="A165" s="87" t="s">
        <v>241</v>
      </c>
      <c r="B165" s="90">
        <v>13475.55</v>
      </c>
      <c r="C165" s="90">
        <v>18689.669999999998</v>
      </c>
      <c r="D165" s="90">
        <v>10192.370000000001</v>
      </c>
      <c r="E165" s="90">
        <v>18678.830000000002</v>
      </c>
      <c r="F165" s="90">
        <v>3990</v>
      </c>
      <c r="G165" s="90">
        <v>6395</v>
      </c>
      <c r="H165" s="90">
        <v>6785.72</v>
      </c>
      <c r="I165" s="90">
        <v>6130.66</v>
      </c>
      <c r="J165" s="90">
        <v>4834.1000000000004</v>
      </c>
      <c r="K165" s="90">
        <v>2806.04</v>
      </c>
      <c r="L165" s="90">
        <v>2826.74</v>
      </c>
      <c r="M165" s="90">
        <v>3216.62</v>
      </c>
      <c r="N165" s="90">
        <v>98021.3</v>
      </c>
    </row>
    <row r="166" spans="1:14" x14ac:dyDescent="0.25">
      <c r="A166" s="87" t="s">
        <v>242</v>
      </c>
      <c r="B166" s="90">
        <v>69788.789999999994</v>
      </c>
      <c r="C166" s="90">
        <v>129329.76</v>
      </c>
      <c r="D166" s="90">
        <v>87447.15</v>
      </c>
      <c r="E166" s="90">
        <v>54712.08</v>
      </c>
      <c r="F166" s="90">
        <v>63447.44</v>
      </c>
      <c r="G166" s="90">
        <v>74559.399999999994</v>
      </c>
      <c r="H166" s="90">
        <v>67674.880000000005</v>
      </c>
      <c r="I166" s="90">
        <v>71293.81</v>
      </c>
      <c r="J166" s="90">
        <v>65803.42</v>
      </c>
      <c r="K166" s="90">
        <v>55762.75</v>
      </c>
      <c r="L166" s="90">
        <v>71649.81</v>
      </c>
      <c r="M166" s="90">
        <v>50205.24</v>
      </c>
      <c r="N166" s="90">
        <v>861674.53</v>
      </c>
    </row>
    <row r="167" spans="1:14" x14ac:dyDescent="0.25">
      <c r="A167" s="87" t="s">
        <v>243</v>
      </c>
      <c r="B167" s="90">
        <v>65867.289999999994</v>
      </c>
      <c r="C167" s="90">
        <v>46374.99</v>
      </c>
      <c r="D167" s="90">
        <v>38402.35</v>
      </c>
      <c r="E167" s="90">
        <v>46491.03</v>
      </c>
      <c r="F167" s="90">
        <v>32791.54</v>
      </c>
      <c r="G167" s="90">
        <v>57398.09</v>
      </c>
      <c r="H167" s="90">
        <v>40415.760000000002</v>
      </c>
      <c r="I167" s="90">
        <v>44060.71</v>
      </c>
      <c r="J167" s="90">
        <v>27287.69</v>
      </c>
      <c r="K167" s="90">
        <v>33743.660000000003</v>
      </c>
      <c r="L167" s="90">
        <v>51900.69</v>
      </c>
      <c r="M167" s="90">
        <v>60641.63</v>
      </c>
      <c r="N167" s="90">
        <v>545375.43000000005</v>
      </c>
    </row>
    <row r="168" spans="1:14" x14ac:dyDescent="0.25">
      <c r="A168" s="87" t="s">
        <v>130</v>
      </c>
      <c r="B168" s="90">
        <v>0</v>
      </c>
      <c r="C168" s="90">
        <v>3722.21</v>
      </c>
      <c r="D168" s="90">
        <v>350</v>
      </c>
      <c r="E168" s="90">
        <v>0</v>
      </c>
      <c r="F168" s="90">
        <v>6566.82</v>
      </c>
      <c r="G168" s="90">
        <v>0</v>
      </c>
      <c r="H168" s="90">
        <v>102</v>
      </c>
      <c r="I168" s="90">
        <v>504</v>
      </c>
      <c r="J168" s="90">
        <v>3192.99</v>
      </c>
      <c r="K168" s="90">
        <v>1085</v>
      </c>
      <c r="L168" s="90">
        <v>197</v>
      </c>
      <c r="M168" s="90">
        <v>0</v>
      </c>
      <c r="N168" s="90">
        <v>15720.02</v>
      </c>
    </row>
    <row r="169" spans="1:14" x14ac:dyDescent="0.25">
      <c r="A169" s="87" t="s">
        <v>131</v>
      </c>
      <c r="B169" s="90">
        <v>112263.2</v>
      </c>
      <c r="C169" s="90">
        <v>138814.57999999999</v>
      </c>
      <c r="D169" s="90">
        <v>157418.48000000001</v>
      </c>
      <c r="E169" s="90">
        <v>115008.28</v>
      </c>
      <c r="F169" s="90">
        <v>240988.59</v>
      </c>
      <c r="G169" s="90">
        <v>273352.82</v>
      </c>
      <c r="H169" s="90">
        <v>257875.97</v>
      </c>
      <c r="I169" s="90">
        <v>216789.36</v>
      </c>
      <c r="J169" s="90">
        <v>244893.85</v>
      </c>
      <c r="K169" s="90">
        <v>172455.21</v>
      </c>
      <c r="L169" s="90">
        <v>217129.65</v>
      </c>
      <c r="M169" s="90">
        <v>184824.14</v>
      </c>
      <c r="N169" s="90">
        <v>2331814.13</v>
      </c>
    </row>
    <row r="170" spans="1:14" x14ac:dyDescent="0.25">
      <c r="A170" s="87" t="s">
        <v>244</v>
      </c>
      <c r="B170" s="90">
        <v>199182.87</v>
      </c>
      <c r="C170" s="90">
        <v>223549.81</v>
      </c>
      <c r="D170" s="90">
        <v>222135.73</v>
      </c>
      <c r="E170" s="90">
        <v>273505.7</v>
      </c>
      <c r="F170" s="90">
        <v>314522.40000000002</v>
      </c>
      <c r="G170" s="90">
        <v>274025.02</v>
      </c>
      <c r="H170" s="90">
        <v>274852.03000000003</v>
      </c>
      <c r="I170" s="90">
        <v>231086.17</v>
      </c>
      <c r="J170" s="90">
        <v>217681.17</v>
      </c>
      <c r="K170" s="90">
        <v>206877.29</v>
      </c>
      <c r="L170" s="90">
        <v>247996.14</v>
      </c>
      <c r="M170" s="90">
        <v>230510.02</v>
      </c>
      <c r="N170" s="90">
        <v>2915924.35</v>
      </c>
    </row>
    <row r="171" spans="1:14" x14ac:dyDescent="0.25">
      <c r="A171" s="87" t="s">
        <v>245</v>
      </c>
      <c r="B171" s="90">
        <v>456059.03</v>
      </c>
      <c r="C171" s="90">
        <v>430693.51</v>
      </c>
      <c r="D171" s="90">
        <v>415929.55</v>
      </c>
      <c r="E171" s="90">
        <v>454269.59</v>
      </c>
      <c r="F171" s="90">
        <v>506796.32</v>
      </c>
      <c r="G171" s="90">
        <v>483792.13</v>
      </c>
      <c r="H171" s="90">
        <v>473298.48</v>
      </c>
      <c r="I171" s="90">
        <v>360136.51</v>
      </c>
      <c r="J171" s="90">
        <v>335497.18</v>
      </c>
      <c r="K171" s="90">
        <v>334705.96999999997</v>
      </c>
      <c r="L171" s="90">
        <v>365380.63</v>
      </c>
      <c r="M171" s="90">
        <v>370181.75</v>
      </c>
      <c r="N171" s="90">
        <v>4986740.6500000004</v>
      </c>
    </row>
    <row r="172" spans="1:14" x14ac:dyDescent="0.25">
      <c r="A172" s="87" t="s">
        <v>246</v>
      </c>
      <c r="B172" s="90">
        <v>25653.34</v>
      </c>
      <c r="C172" s="90">
        <v>4914.84</v>
      </c>
      <c r="D172" s="90">
        <v>10104.75</v>
      </c>
      <c r="E172" s="90">
        <v>16289.42</v>
      </c>
      <c r="F172" s="90">
        <v>0</v>
      </c>
      <c r="G172" s="90">
        <v>0</v>
      </c>
      <c r="H172" s="90">
        <v>0</v>
      </c>
      <c r="I172" s="90">
        <v>0</v>
      </c>
      <c r="J172" s="90">
        <v>0</v>
      </c>
      <c r="K172" s="90">
        <v>0</v>
      </c>
      <c r="L172" s="90">
        <v>0</v>
      </c>
      <c r="M172" s="90">
        <v>81310.16</v>
      </c>
      <c r="N172" s="90">
        <v>138272.51</v>
      </c>
    </row>
    <row r="173" spans="1:14" ht="23.25" x14ac:dyDescent="0.25">
      <c r="A173" s="87" t="s">
        <v>247</v>
      </c>
      <c r="B173" s="90">
        <v>32724.6</v>
      </c>
      <c r="C173" s="90">
        <v>-3547.39</v>
      </c>
      <c r="D173" s="90">
        <v>46881.17</v>
      </c>
      <c r="E173" s="90">
        <v>33489.800000000003</v>
      </c>
      <c r="F173" s="90">
        <v>22007.88</v>
      </c>
      <c r="G173" s="90">
        <v>21929.41</v>
      </c>
      <c r="H173" s="90">
        <v>33588.75</v>
      </c>
      <c r="I173" s="90">
        <v>51988.04</v>
      </c>
      <c r="J173" s="90">
        <v>20125.900000000001</v>
      </c>
      <c r="K173" s="90">
        <v>24724.63</v>
      </c>
      <c r="L173" s="90">
        <v>31136.38</v>
      </c>
      <c r="M173" s="90">
        <v>39416.14</v>
      </c>
      <c r="N173" s="90">
        <v>354465.31</v>
      </c>
    </row>
    <row r="174" spans="1:14" x14ac:dyDescent="0.25">
      <c r="A174" s="87" t="s">
        <v>134</v>
      </c>
      <c r="B174" s="90">
        <v>150.29</v>
      </c>
      <c r="C174" s="90">
        <v>81.86</v>
      </c>
      <c r="D174" s="90">
        <v>61.36</v>
      </c>
      <c r="E174" s="90">
        <v>0</v>
      </c>
      <c r="F174" s="90">
        <v>0</v>
      </c>
      <c r="G174" s="90">
        <v>0</v>
      </c>
      <c r="H174" s="90">
        <v>0</v>
      </c>
      <c r="I174" s="90">
        <v>0</v>
      </c>
      <c r="J174" s="90">
        <v>0</v>
      </c>
      <c r="K174" s="90">
        <v>0</v>
      </c>
      <c r="L174" s="90">
        <v>0</v>
      </c>
      <c r="M174" s="90">
        <v>0</v>
      </c>
      <c r="N174" s="90">
        <v>293.51</v>
      </c>
    </row>
    <row r="175" spans="1:14" x14ac:dyDescent="0.25">
      <c r="A175" s="87" t="s">
        <v>132</v>
      </c>
      <c r="B175" s="90">
        <v>0</v>
      </c>
      <c r="C175" s="90">
        <v>0</v>
      </c>
      <c r="D175" s="90">
        <v>1200</v>
      </c>
      <c r="E175" s="90">
        <v>0</v>
      </c>
      <c r="F175" s="90">
        <v>0</v>
      </c>
      <c r="G175" s="90">
        <v>0</v>
      </c>
      <c r="H175" s="90">
        <v>0</v>
      </c>
      <c r="I175" s="90">
        <v>0</v>
      </c>
      <c r="J175" s="90">
        <v>0</v>
      </c>
      <c r="K175" s="90">
        <v>0</v>
      </c>
      <c r="L175" s="90">
        <v>0</v>
      </c>
      <c r="M175" s="90">
        <v>0</v>
      </c>
      <c r="N175" s="90">
        <v>1200</v>
      </c>
    </row>
    <row r="176" spans="1:14" x14ac:dyDescent="0.25">
      <c r="A176" s="87" t="s">
        <v>133</v>
      </c>
      <c r="B176" s="90">
        <v>12.99</v>
      </c>
      <c r="C176" s="90">
        <v>0</v>
      </c>
      <c r="D176" s="90">
        <v>416.24</v>
      </c>
      <c r="E176" s="90">
        <v>20.98</v>
      </c>
      <c r="F176" s="90">
        <v>0</v>
      </c>
      <c r="G176" s="90">
        <v>290.95999999999998</v>
      </c>
      <c r="H176" s="90">
        <v>0</v>
      </c>
      <c r="I176" s="90">
        <v>0</v>
      </c>
      <c r="J176" s="90">
        <v>0</v>
      </c>
      <c r="K176" s="90">
        <v>0</v>
      </c>
      <c r="L176" s="90">
        <v>0</v>
      </c>
      <c r="M176" s="90">
        <v>0</v>
      </c>
      <c r="N176" s="90">
        <v>741.17</v>
      </c>
    </row>
    <row r="177" spans="1:14" x14ac:dyDescent="0.25">
      <c r="A177" s="87" t="s">
        <v>135</v>
      </c>
      <c r="B177" s="90">
        <v>43578.55</v>
      </c>
      <c r="C177" s="90">
        <v>88740.27</v>
      </c>
      <c r="D177" s="90">
        <v>91331.77</v>
      </c>
      <c r="E177" s="90">
        <v>104258.7</v>
      </c>
      <c r="F177" s="90">
        <v>163099.79999999999</v>
      </c>
      <c r="G177" s="90">
        <v>113851.13</v>
      </c>
      <c r="H177" s="90">
        <v>66904.06</v>
      </c>
      <c r="I177" s="90">
        <v>120193.17</v>
      </c>
      <c r="J177" s="90">
        <v>79037.919999999998</v>
      </c>
      <c r="K177" s="90">
        <v>89388.43</v>
      </c>
      <c r="L177" s="90">
        <v>94150.080000000002</v>
      </c>
      <c r="M177" s="90">
        <v>67768.06</v>
      </c>
      <c r="N177" s="90">
        <v>1122301.94</v>
      </c>
    </row>
    <row r="178" spans="1:14" x14ac:dyDescent="0.25">
      <c r="A178" s="87" t="s">
        <v>136</v>
      </c>
      <c r="B178" s="90">
        <v>1300</v>
      </c>
      <c r="C178" s="90">
        <v>1300</v>
      </c>
      <c r="D178" s="90">
        <v>-11300</v>
      </c>
      <c r="E178" s="90">
        <v>-6768.47</v>
      </c>
      <c r="F178" s="90">
        <v>0</v>
      </c>
      <c r="G178" s="90">
        <v>0</v>
      </c>
      <c r="H178" s="90">
        <v>0</v>
      </c>
      <c r="I178" s="90">
        <v>0</v>
      </c>
      <c r="J178" s="90">
        <v>0</v>
      </c>
      <c r="K178" s="90">
        <v>0</v>
      </c>
      <c r="L178" s="90">
        <v>0</v>
      </c>
      <c r="M178" s="90">
        <v>0</v>
      </c>
      <c r="N178" s="90">
        <v>-15468.47</v>
      </c>
    </row>
    <row r="179" spans="1:14" x14ac:dyDescent="0.25">
      <c r="A179" s="87" t="s">
        <v>248</v>
      </c>
      <c r="B179" s="90">
        <v>80827.679999999993</v>
      </c>
      <c r="C179" s="90">
        <v>87082.02</v>
      </c>
      <c r="D179" s="90">
        <v>74741.710000000006</v>
      </c>
      <c r="E179" s="90">
        <v>60798.62</v>
      </c>
      <c r="F179" s="90">
        <v>60951.28</v>
      </c>
      <c r="G179" s="90">
        <v>99954.51</v>
      </c>
      <c r="H179" s="90">
        <v>68713.08</v>
      </c>
      <c r="I179" s="90">
        <v>71063.81</v>
      </c>
      <c r="J179" s="90">
        <v>73718.25</v>
      </c>
      <c r="K179" s="90">
        <v>47866.06</v>
      </c>
      <c r="L179" s="90">
        <v>71469.66</v>
      </c>
      <c r="M179" s="90">
        <v>58503.81</v>
      </c>
      <c r="N179" s="90">
        <v>855690.49</v>
      </c>
    </row>
    <row r="180" spans="1:14" x14ac:dyDescent="0.25">
      <c r="A180" s="87" t="s">
        <v>249</v>
      </c>
      <c r="B180" s="90">
        <v>284.7</v>
      </c>
      <c r="C180" s="90">
        <v>0</v>
      </c>
      <c r="D180" s="90">
        <v>0</v>
      </c>
      <c r="E180" s="90">
        <v>0</v>
      </c>
      <c r="F180" s="90">
        <v>0</v>
      </c>
      <c r="G180" s="90">
        <v>0</v>
      </c>
      <c r="H180" s="90">
        <v>0</v>
      </c>
      <c r="I180" s="90">
        <v>0</v>
      </c>
      <c r="J180" s="90">
        <v>0</v>
      </c>
      <c r="K180" s="90">
        <v>0</v>
      </c>
      <c r="L180" s="90">
        <v>0</v>
      </c>
      <c r="M180" s="90">
        <v>0</v>
      </c>
      <c r="N180" s="90">
        <v>284.7</v>
      </c>
    </row>
    <row r="181" spans="1:14" ht="23.25" x14ac:dyDescent="0.25">
      <c r="A181" s="87" t="s">
        <v>250</v>
      </c>
      <c r="B181" s="90">
        <v>39630.29</v>
      </c>
      <c r="C181" s="90">
        <v>25441.74</v>
      </c>
      <c r="D181" s="90">
        <v>46918.1</v>
      </c>
      <c r="E181" s="90">
        <v>44261.58</v>
      </c>
      <c r="F181" s="90">
        <v>52088.72</v>
      </c>
      <c r="G181" s="90">
        <v>45571.57</v>
      </c>
      <c r="H181" s="90">
        <v>1151.48</v>
      </c>
      <c r="I181" s="90">
        <v>45744.959999999999</v>
      </c>
      <c r="J181" s="90">
        <v>31504.77</v>
      </c>
      <c r="K181" s="90">
        <v>26823.29</v>
      </c>
      <c r="L181" s="90">
        <v>37392.76</v>
      </c>
      <c r="M181" s="90">
        <v>38665.11</v>
      </c>
      <c r="N181" s="90">
        <v>435194.37</v>
      </c>
    </row>
    <row r="182" spans="1:14" x14ac:dyDescent="0.25">
      <c r="A182" s="87" t="s">
        <v>137</v>
      </c>
      <c r="B182" s="90">
        <v>84416.86</v>
      </c>
      <c r="C182" s="90">
        <v>95081.07</v>
      </c>
      <c r="D182" s="90">
        <v>92157.87</v>
      </c>
      <c r="E182" s="90">
        <v>94492.06</v>
      </c>
      <c r="F182" s="90">
        <v>73214.53</v>
      </c>
      <c r="G182" s="90">
        <v>98694.41</v>
      </c>
      <c r="H182" s="90">
        <v>108472.38</v>
      </c>
      <c r="I182" s="90">
        <v>101817.74</v>
      </c>
      <c r="J182" s="90">
        <v>84153.02</v>
      </c>
      <c r="K182" s="90">
        <v>72364.679999999993</v>
      </c>
      <c r="L182" s="90">
        <v>73972.820000000007</v>
      </c>
      <c r="M182" s="90">
        <v>71017.81</v>
      </c>
      <c r="N182" s="90">
        <v>1049855.25</v>
      </c>
    </row>
    <row r="183" spans="1:14" x14ac:dyDescent="0.25">
      <c r="A183" s="87" t="s">
        <v>251</v>
      </c>
      <c r="B183" s="96">
        <v>40403.21</v>
      </c>
      <c r="C183" s="96">
        <v>37264.26</v>
      </c>
      <c r="D183" s="96">
        <v>48732.63</v>
      </c>
      <c r="E183" s="96">
        <v>38551.870000000003</v>
      </c>
      <c r="F183" s="96">
        <v>40968.629999999997</v>
      </c>
      <c r="G183" s="96">
        <v>59611.4</v>
      </c>
      <c r="H183" s="96">
        <v>47794.98</v>
      </c>
      <c r="I183" s="96">
        <v>47624.39</v>
      </c>
      <c r="J183" s="96">
        <v>38818.43</v>
      </c>
      <c r="K183" s="96">
        <v>43083.16</v>
      </c>
      <c r="L183" s="96">
        <v>44933.35</v>
      </c>
      <c r="M183" s="96">
        <v>42358.5</v>
      </c>
      <c r="N183" s="96">
        <v>530144.81000000006</v>
      </c>
    </row>
    <row r="184" spans="1:14" x14ac:dyDescent="0.25">
      <c r="A184" s="94" t="s">
        <v>138</v>
      </c>
      <c r="B184" s="102">
        <v>4580133.67</v>
      </c>
      <c r="C184" s="102">
        <v>4508755.37</v>
      </c>
      <c r="D184" s="102">
        <v>4356308.05</v>
      </c>
      <c r="E184" s="102">
        <v>4643817.3600000003</v>
      </c>
      <c r="F184" s="102">
        <v>4533806.01</v>
      </c>
      <c r="G184" s="102">
        <v>4912899.79</v>
      </c>
      <c r="H184" s="102">
        <v>4567568.04</v>
      </c>
      <c r="I184" s="102">
        <v>4558848.4400000004</v>
      </c>
      <c r="J184" s="102">
        <v>4188733.14</v>
      </c>
      <c r="K184" s="102">
        <v>4194037.07</v>
      </c>
      <c r="L184" s="102">
        <v>4471363.76</v>
      </c>
      <c r="M184" s="102">
        <v>4203547.26</v>
      </c>
      <c r="N184" s="102">
        <v>53719817.960000001</v>
      </c>
    </row>
    <row r="185" spans="1:14" x14ac:dyDescent="0.25">
      <c r="A185" s="87"/>
      <c r="B185" s="88"/>
      <c r="C185" s="88"/>
      <c r="D185" s="88"/>
      <c r="E185" s="88"/>
      <c r="F185" s="88"/>
      <c r="G185" s="88"/>
      <c r="H185" s="88"/>
      <c r="I185" s="88"/>
      <c r="J185" s="88"/>
      <c r="K185" s="88"/>
      <c r="L185" s="88"/>
      <c r="M185" s="88"/>
      <c r="N185" s="88"/>
    </row>
    <row r="186" spans="1:14" x14ac:dyDescent="0.25">
      <c r="A186" s="87" t="s">
        <v>252</v>
      </c>
      <c r="B186" s="90">
        <v>80094.179999999993</v>
      </c>
      <c r="C186" s="90">
        <v>73214</v>
      </c>
      <c r="D186" s="90">
        <v>73887.17</v>
      </c>
      <c r="E186" s="90">
        <v>77095.08</v>
      </c>
      <c r="F186" s="90">
        <v>70928.350000000006</v>
      </c>
      <c r="G186" s="90">
        <v>69124.56</v>
      </c>
      <c r="H186" s="90">
        <v>11579.4</v>
      </c>
      <c r="I186" s="90">
        <v>0</v>
      </c>
      <c r="J186" s="90">
        <v>0</v>
      </c>
      <c r="K186" s="90">
        <v>0</v>
      </c>
      <c r="L186" s="90">
        <v>0</v>
      </c>
      <c r="M186" s="90">
        <v>0</v>
      </c>
      <c r="N186" s="90">
        <v>455922.74</v>
      </c>
    </row>
    <row r="187" spans="1:14" x14ac:dyDescent="0.25">
      <c r="A187" s="87" t="s">
        <v>253</v>
      </c>
      <c r="B187" s="90">
        <v>164858.73000000001</v>
      </c>
      <c r="C187" s="90">
        <v>137731.79999999999</v>
      </c>
      <c r="D187" s="90">
        <v>137697.28</v>
      </c>
      <c r="E187" s="90">
        <v>156806.59</v>
      </c>
      <c r="F187" s="90">
        <v>156530.82999999999</v>
      </c>
      <c r="G187" s="90">
        <v>156530.82999999999</v>
      </c>
      <c r="H187" s="90">
        <v>319625.27</v>
      </c>
      <c r="I187" s="90">
        <v>338001.67</v>
      </c>
      <c r="J187" s="90">
        <v>341784.99</v>
      </c>
      <c r="K187" s="90">
        <v>333345.51</v>
      </c>
      <c r="L187" s="90">
        <v>333405.51</v>
      </c>
      <c r="M187" s="90">
        <v>338408.38</v>
      </c>
      <c r="N187" s="90">
        <v>2914727.39</v>
      </c>
    </row>
    <row r="188" spans="1:14" x14ac:dyDescent="0.25">
      <c r="A188" s="87" t="s">
        <v>254</v>
      </c>
      <c r="B188" s="90">
        <v>12693.02</v>
      </c>
      <c r="C188" s="90">
        <v>10658.08</v>
      </c>
      <c r="D188" s="90">
        <v>16388.599999999999</v>
      </c>
      <c r="E188" s="90">
        <v>12711.64</v>
      </c>
      <c r="F188" s="90">
        <v>14367.35</v>
      </c>
      <c r="G188" s="90">
        <v>15985.41</v>
      </c>
      <c r="H188" s="90">
        <v>6555.37</v>
      </c>
      <c r="I188" s="90">
        <v>5507.02</v>
      </c>
      <c r="J188" s="90">
        <v>14839.01</v>
      </c>
      <c r="K188" s="90">
        <v>-3045.01</v>
      </c>
      <c r="L188" s="90">
        <v>447.37</v>
      </c>
      <c r="M188" s="90">
        <v>390.75</v>
      </c>
      <c r="N188" s="90">
        <v>107498.61</v>
      </c>
    </row>
    <row r="189" spans="1:14" x14ac:dyDescent="0.25">
      <c r="A189" s="87" t="s">
        <v>255</v>
      </c>
      <c r="B189" s="90">
        <v>19213.32</v>
      </c>
      <c r="C189" s="90">
        <v>20587.41</v>
      </c>
      <c r="D189" s="90">
        <v>32955.21</v>
      </c>
      <c r="E189" s="90">
        <v>14088.24</v>
      </c>
      <c r="F189" s="90">
        <v>21155.89</v>
      </c>
      <c r="G189" s="90">
        <v>10928.95</v>
      </c>
      <c r="H189" s="90">
        <v>7060.24</v>
      </c>
      <c r="I189" s="90">
        <v>16092.45</v>
      </c>
      <c r="J189" s="90">
        <v>22385.1</v>
      </c>
      <c r="K189" s="90">
        <v>7783.44</v>
      </c>
      <c r="L189" s="90">
        <v>64512.61</v>
      </c>
      <c r="M189" s="90">
        <v>9988.57</v>
      </c>
      <c r="N189" s="90">
        <v>246751.43</v>
      </c>
    </row>
    <row r="190" spans="1:14" x14ac:dyDescent="0.25">
      <c r="A190" s="87" t="s">
        <v>256</v>
      </c>
      <c r="B190" s="90">
        <v>240870.1</v>
      </c>
      <c r="C190" s="90">
        <v>241763.94</v>
      </c>
      <c r="D190" s="90">
        <v>232498.37</v>
      </c>
      <c r="E190" s="90">
        <v>239636.72</v>
      </c>
      <c r="F190" s="90">
        <v>220517.27</v>
      </c>
      <c r="G190" s="90">
        <v>209557.34</v>
      </c>
      <c r="H190" s="90">
        <v>34445.160000000003</v>
      </c>
      <c r="I190" s="90">
        <v>48.02</v>
      </c>
      <c r="J190" s="90">
        <v>22.16</v>
      </c>
      <c r="K190" s="90">
        <v>0</v>
      </c>
      <c r="L190" s="90">
        <v>0</v>
      </c>
      <c r="M190" s="90">
        <v>0</v>
      </c>
      <c r="N190" s="90">
        <v>1419359.08</v>
      </c>
    </row>
    <row r="191" spans="1:14" x14ac:dyDescent="0.25">
      <c r="A191" s="87" t="s">
        <v>257</v>
      </c>
      <c r="B191" s="90">
        <v>251689.95</v>
      </c>
      <c r="C191" s="90">
        <v>188564.61</v>
      </c>
      <c r="D191" s="90">
        <v>188633.2</v>
      </c>
      <c r="E191" s="90">
        <v>211704.19</v>
      </c>
      <c r="F191" s="90">
        <v>213654.19</v>
      </c>
      <c r="G191" s="90">
        <v>211704.19</v>
      </c>
      <c r="H191" s="90">
        <v>422143.05</v>
      </c>
      <c r="I191" s="90">
        <v>462633.62</v>
      </c>
      <c r="J191" s="90">
        <v>466922.94</v>
      </c>
      <c r="K191" s="90">
        <v>458756.92</v>
      </c>
      <c r="L191" s="90">
        <v>452572.01</v>
      </c>
      <c r="M191" s="90">
        <v>457667.48</v>
      </c>
      <c r="N191" s="90">
        <v>3986646.35</v>
      </c>
    </row>
    <row r="192" spans="1:14" x14ac:dyDescent="0.25">
      <c r="A192" s="87" t="s">
        <v>258</v>
      </c>
      <c r="B192" s="90">
        <v>49358.879999999997</v>
      </c>
      <c r="C192" s="90">
        <v>53219.6</v>
      </c>
      <c r="D192" s="90">
        <v>54163.38</v>
      </c>
      <c r="E192" s="90">
        <v>49032.08</v>
      </c>
      <c r="F192" s="90">
        <v>38114.050000000003</v>
      </c>
      <c r="G192" s="90">
        <v>46616.61</v>
      </c>
      <c r="H192" s="90">
        <v>13660.3</v>
      </c>
      <c r="I192" s="90">
        <v>19028.82</v>
      </c>
      <c r="J192" s="90">
        <v>22542.84</v>
      </c>
      <c r="K192" s="90">
        <v>-3660.96</v>
      </c>
      <c r="L192" s="90">
        <v>8501.9599999999991</v>
      </c>
      <c r="M192" s="90">
        <v>7470.01</v>
      </c>
      <c r="N192" s="90">
        <v>358047.57</v>
      </c>
    </row>
    <row r="193" spans="1:14" x14ac:dyDescent="0.25">
      <c r="A193" s="87" t="s">
        <v>259</v>
      </c>
      <c r="B193" s="90">
        <v>0</v>
      </c>
      <c r="C193" s="90">
        <v>250</v>
      </c>
      <c r="D193" s="90">
        <v>0</v>
      </c>
      <c r="E193" s="90">
        <v>25</v>
      </c>
      <c r="F193" s="90">
        <v>12.01</v>
      </c>
      <c r="G193" s="90">
        <v>51.3</v>
      </c>
      <c r="H193" s="90">
        <v>0</v>
      </c>
      <c r="I193" s="90">
        <v>0</v>
      </c>
      <c r="J193" s="90">
        <v>0</v>
      </c>
      <c r="K193" s="90">
        <v>0</v>
      </c>
      <c r="L193" s="90">
        <v>0</v>
      </c>
      <c r="M193" s="90">
        <v>0</v>
      </c>
      <c r="N193" s="90">
        <v>338.31</v>
      </c>
    </row>
    <row r="194" spans="1:14" x14ac:dyDescent="0.25">
      <c r="A194" s="87" t="s">
        <v>260</v>
      </c>
      <c r="B194" s="90">
        <v>18378.27</v>
      </c>
      <c r="C194" s="90">
        <v>29483.200000000001</v>
      </c>
      <c r="D194" s="90">
        <v>47575.48</v>
      </c>
      <c r="E194" s="90">
        <v>17858.89</v>
      </c>
      <c r="F194" s="90">
        <v>12552.25</v>
      </c>
      <c r="G194" s="90">
        <v>37171.75</v>
      </c>
      <c r="H194" s="90">
        <v>15401.56</v>
      </c>
      <c r="I194" s="90">
        <v>210</v>
      </c>
      <c r="J194" s="90">
        <v>0</v>
      </c>
      <c r="K194" s="90">
        <v>0</v>
      </c>
      <c r="L194" s="90">
        <v>0</v>
      </c>
      <c r="M194" s="90">
        <v>0</v>
      </c>
      <c r="N194" s="90">
        <v>178631.4</v>
      </c>
    </row>
    <row r="195" spans="1:14" x14ac:dyDescent="0.25">
      <c r="A195" s="87" t="s">
        <v>261</v>
      </c>
      <c r="B195" s="90">
        <v>506.2</v>
      </c>
      <c r="C195" s="90">
        <v>151.9</v>
      </c>
      <c r="D195" s="90">
        <v>-5290.81</v>
      </c>
      <c r="E195" s="90">
        <v>936.05</v>
      </c>
      <c r="F195" s="90">
        <v>-2036.05</v>
      </c>
      <c r="G195" s="90">
        <v>-20524.009999999998</v>
      </c>
      <c r="H195" s="90">
        <v>-11547.24</v>
      </c>
      <c r="I195" s="90">
        <v>0</v>
      </c>
      <c r="J195" s="90">
        <v>0</v>
      </c>
      <c r="K195" s="90">
        <v>0</v>
      </c>
      <c r="L195" s="90">
        <v>0</v>
      </c>
      <c r="M195" s="90">
        <v>0</v>
      </c>
      <c r="N195" s="90">
        <v>-37803.96</v>
      </c>
    </row>
    <row r="196" spans="1:14" x14ac:dyDescent="0.25">
      <c r="A196" s="87" t="s">
        <v>262</v>
      </c>
      <c r="B196" s="90">
        <v>11420.78</v>
      </c>
      <c r="C196" s="90">
        <v>11220.48</v>
      </c>
      <c r="D196" s="90">
        <v>11220.48</v>
      </c>
      <c r="E196" s="90">
        <v>10683.94</v>
      </c>
      <c r="F196" s="90">
        <v>9410.52</v>
      </c>
      <c r="G196" s="90">
        <v>9253.01</v>
      </c>
      <c r="H196" s="90">
        <v>3174.5</v>
      </c>
      <c r="I196" s="90">
        <v>0</v>
      </c>
      <c r="J196" s="90">
        <v>0</v>
      </c>
      <c r="K196" s="90">
        <v>0</v>
      </c>
      <c r="L196" s="90">
        <v>0</v>
      </c>
      <c r="M196" s="90">
        <v>0</v>
      </c>
      <c r="N196" s="90">
        <v>66383.710000000006</v>
      </c>
    </row>
    <row r="197" spans="1:14" x14ac:dyDescent="0.25">
      <c r="A197" s="87" t="s">
        <v>263</v>
      </c>
      <c r="B197" s="96">
        <v>27046.44</v>
      </c>
      <c r="C197" s="96">
        <v>27512.92</v>
      </c>
      <c r="D197" s="96">
        <v>20128.810000000001</v>
      </c>
      <c r="E197" s="96">
        <v>41893.910000000003</v>
      </c>
      <c r="F197" s="96">
        <v>28325.58</v>
      </c>
      <c r="G197" s="96">
        <v>28962.880000000001</v>
      </c>
      <c r="H197" s="96">
        <v>5334.09</v>
      </c>
      <c r="I197" s="96">
        <v>16.07</v>
      </c>
      <c r="J197" s="96">
        <v>0</v>
      </c>
      <c r="K197" s="96">
        <v>0</v>
      </c>
      <c r="L197" s="96">
        <v>0</v>
      </c>
      <c r="M197" s="96">
        <v>0</v>
      </c>
      <c r="N197" s="96">
        <v>179220.7</v>
      </c>
    </row>
    <row r="198" spans="1:14" x14ac:dyDescent="0.25">
      <c r="A198" s="94" t="s">
        <v>139</v>
      </c>
      <c r="B198" s="102">
        <v>876129.87</v>
      </c>
      <c r="C198" s="102">
        <v>794357.94</v>
      </c>
      <c r="D198" s="102">
        <v>809857.17</v>
      </c>
      <c r="E198" s="102">
        <v>832472.33</v>
      </c>
      <c r="F198" s="102">
        <v>783532.24</v>
      </c>
      <c r="G198" s="102">
        <v>775362.82</v>
      </c>
      <c r="H198" s="102">
        <v>827431.7</v>
      </c>
      <c r="I198" s="102">
        <v>841537.67</v>
      </c>
      <c r="J198" s="102">
        <v>868497.04</v>
      </c>
      <c r="K198" s="102">
        <v>793179.9</v>
      </c>
      <c r="L198" s="102">
        <v>859439.46</v>
      </c>
      <c r="M198" s="102">
        <v>813925.19</v>
      </c>
      <c r="N198" s="102">
        <v>9875723.3300000001</v>
      </c>
    </row>
    <row r="199" spans="1:14" x14ac:dyDescent="0.25">
      <c r="A199" s="87"/>
      <c r="B199" s="88"/>
      <c r="C199" s="88"/>
      <c r="D199" s="88"/>
      <c r="E199" s="88"/>
      <c r="F199" s="88"/>
      <c r="G199" s="88"/>
      <c r="H199" s="88"/>
      <c r="I199" s="88"/>
      <c r="J199" s="88"/>
      <c r="K199" s="88"/>
      <c r="L199" s="88"/>
      <c r="M199" s="88"/>
      <c r="N199" s="88"/>
    </row>
    <row r="200" spans="1:14" x14ac:dyDescent="0.25">
      <c r="A200" s="87" t="s">
        <v>264</v>
      </c>
      <c r="B200" s="90">
        <v>143051.95000000001</v>
      </c>
      <c r="C200" s="90">
        <v>135351.65</v>
      </c>
      <c r="D200" s="90">
        <v>120566.16</v>
      </c>
      <c r="E200" s="90">
        <v>136345.28</v>
      </c>
      <c r="F200" s="90">
        <v>125659.23</v>
      </c>
      <c r="G200" s="90">
        <v>116680.74</v>
      </c>
      <c r="H200" s="90">
        <v>27306.11</v>
      </c>
      <c r="I200" s="90">
        <v>4039.08</v>
      </c>
      <c r="J200" s="90">
        <v>0</v>
      </c>
      <c r="K200" s="90">
        <v>0</v>
      </c>
      <c r="L200" s="90">
        <v>-4221.1400000000003</v>
      </c>
      <c r="M200" s="90">
        <v>0</v>
      </c>
      <c r="N200" s="90">
        <v>804779.06</v>
      </c>
    </row>
    <row r="201" spans="1:14" x14ac:dyDescent="0.25">
      <c r="A201" s="87" t="s">
        <v>265</v>
      </c>
      <c r="B201" s="90">
        <v>17720.32</v>
      </c>
      <c r="C201" s="90">
        <v>15643.06</v>
      </c>
      <c r="D201" s="90">
        <v>11709.22</v>
      </c>
      <c r="E201" s="90">
        <v>16403.439999999999</v>
      </c>
      <c r="F201" s="90">
        <v>16888.939999999999</v>
      </c>
      <c r="G201" s="90">
        <v>10361.76</v>
      </c>
      <c r="H201" s="90">
        <v>4192.79</v>
      </c>
      <c r="I201" s="90">
        <v>0</v>
      </c>
      <c r="J201" s="90">
        <v>0</v>
      </c>
      <c r="K201" s="90">
        <v>0</v>
      </c>
      <c r="L201" s="90">
        <v>0</v>
      </c>
      <c r="M201" s="90">
        <v>0</v>
      </c>
      <c r="N201" s="90">
        <v>92919.53</v>
      </c>
    </row>
    <row r="202" spans="1:14" x14ac:dyDescent="0.25">
      <c r="A202" s="87" t="s">
        <v>266</v>
      </c>
      <c r="B202" s="90">
        <v>553903.44999999995</v>
      </c>
      <c r="C202" s="90">
        <v>546806.4</v>
      </c>
      <c r="D202" s="90">
        <v>532493.21</v>
      </c>
      <c r="E202" s="90">
        <v>530989.44999999995</v>
      </c>
      <c r="F202" s="90">
        <v>477195.52000000002</v>
      </c>
      <c r="G202" s="90">
        <v>474098.61</v>
      </c>
      <c r="H202" s="90">
        <v>113365.08</v>
      </c>
      <c r="I202" s="90">
        <v>426.09</v>
      </c>
      <c r="J202" s="90">
        <v>682.95</v>
      </c>
      <c r="K202" s="90">
        <v>1138.78</v>
      </c>
      <c r="L202" s="90">
        <v>0</v>
      </c>
      <c r="M202" s="90">
        <v>490.66</v>
      </c>
      <c r="N202" s="90">
        <v>3231590.2</v>
      </c>
    </row>
    <row r="203" spans="1:14" x14ac:dyDescent="0.25">
      <c r="A203" s="87" t="s">
        <v>267</v>
      </c>
      <c r="B203" s="90">
        <v>2118.44</v>
      </c>
      <c r="C203" s="90">
        <v>1725</v>
      </c>
      <c r="D203" s="90">
        <v>1425</v>
      </c>
      <c r="E203" s="90">
        <v>2027.48</v>
      </c>
      <c r="F203" s="90">
        <v>1400</v>
      </c>
      <c r="G203" s="90">
        <v>41.65</v>
      </c>
      <c r="H203" s="90">
        <v>10.220000000000001</v>
      </c>
      <c r="I203" s="90">
        <v>0</v>
      </c>
      <c r="J203" s="90">
        <v>0</v>
      </c>
      <c r="K203" s="90">
        <v>0</v>
      </c>
      <c r="L203" s="90">
        <v>0</v>
      </c>
      <c r="M203" s="90">
        <v>0</v>
      </c>
      <c r="N203" s="90">
        <v>8747.7900000000009</v>
      </c>
    </row>
    <row r="204" spans="1:14" x14ac:dyDescent="0.25">
      <c r="A204" s="87" t="s">
        <v>268</v>
      </c>
      <c r="B204" s="90">
        <v>28306.57</v>
      </c>
      <c r="C204" s="90">
        <v>48453.599999999999</v>
      </c>
      <c r="D204" s="90">
        <v>69249.240000000005</v>
      </c>
      <c r="E204" s="90">
        <v>29037.54</v>
      </c>
      <c r="F204" s="90">
        <v>17754.95</v>
      </c>
      <c r="G204" s="90">
        <v>51011.21</v>
      </c>
      <c r="H204" s="90">
        <v>29468.12</v>
      </c>
      <c r="I204" s="90">
        <v>0</v>
      </c>
      <c r="J204" s="90">
        <v>0</v>
      </c>
      <c r="K204" s="90">
        <v>0</v>
      </c>
      <c r="L204" s="90">
        <v>0</v>
      </c>
      <c r="M204" s="90">
        <v>0</v>
      </c>
      <c r="N204" s="90">
        <v>273281.23</v>
      </c>
    </row>
    <row r="205" spans="1:14" x14ac:dyDescent="0.25">
      <c r="A205" s="87" t="s">
        <v>269</v>
      </c>
      <c r="B205" s="90">
        <v>3548.11</v>
      </c>
      <c r="C205" s="90">
        <v>-367.43</v>
      </c>
      <c r="D205" s="90">
        <v>-5648.15</v>
      </c>
      <c r="E205" s="90">
        <v>-104.28</v>
      </c>
      <c r="F205" s="90">
        <v>3229.54</v>
      </c>
      <c r="G205" s="90">
        <v>-41741.71</v>
      </c>
      <c r="H205" s="90">
        <v>-28641.31</v>
      </c>
      <c r="I205" s="90">
        <v>0</v>
      </c>
      <c r="J205" s="90">
        <v>0</v>
      </c>
      <c r="K205" s="90">
        <v>0</v>
      </c>
      <c r="L205" s="90">
        <v>0</v>
      </c>
      <c r="M205" s="90">
        <v>0</v>
      </c>
      <c r="N205" s="90">
        <v>-69725.23</v>
      </c>
    </row>
    <row r="206" spans="1:14" x14ac:dyDescent="0.25">
      <c r="A206" s="87" t="s">
        <v>270</v>
      </c>
      <c r="B206" s="90">
        <v>48330.8</v>
      </c>
      <c r="C206" s="90">
        <v>47406.59</v>
      </c>
      <c r="D206" s="90">
        <v>42845.13</v>
      </c>
      <c r="E206" s="90">
        <v>42562.35</v>
      </c>
      <c r="F206" s="90">
        <v>40392.15</v>
      </c>
      <c r="G206" s="90">
        <v>37623.839999999997</v>
      </c>
      <c r="H206" s="90">
        <v>14648.31</v>
      </c>
      <c r="I206" s="90">
        <v>348.02</v>
      </c>
      <c r="J206" s="90">
        <v>1.48</v>
      </c>
      <c r="K206" s="90">
        <v>0</v>
      </c>
      <c r="L206" s="90">
        <v>0</v>
      </c>
      <c r="M206" s="90">
        <v>0</v>
      </c>
      <c r="N206" s="90">
        <v>274158.67</v>
      </c>
    </row>
    <row r="207" spans="1:14" x14ac:dyDescent="0.25">
      <c r="A207" s="87" t="s">
        <v>271</v>
      </c>
      <c r="B207" s="90">
        <v>58771.64</v>
      </c>
      <c r="C207" s="90">
        <v>59112.37</v>
      </c>
      <c r="D207" s="90">
        <v>41299.79</v>
      </c>
      <c r="E207" s="90">
        <v>93611.97</v>
      </c>
      <c r="F207" s="90">
        <v>61109.64</v>
      </c>
      <c r="G207" s="90">
        <v>60380.73</v>
      </c>
      <c r="H207" s="90">
        <v>15528.55</v>
      </c>
      <c r="I207" s="90">
        <v>314.57</v>
      </c>
      <c r="J207" s="90">
        <v>10.130000000000001</v>
      </c>
      <c r="K207" s="90">
        <v>0</v>
      </c>
      <c r="L207" s="90">
        <v>-175.07</v>
      </c>
      <c r="M207" s="90">
        <v>0</v>
      </c>
      <c r="N207" s="90">
        <v>389964.32</v>
      </c>
    </row>
    <row r="208" spans="1:14" x14ac:dyDescent="0.25">
      <c r="A208" s="87" t="s">
        <v>272</v>
      </c>
      <c r="B208" s="90">
        <v>655282.30000000005</v>
      </c>
      <c r="C208" s="90">
        <v>667143.79</v>
      </c>
      <c r="D208" s="90">
        <v>640170.6</v>
      </c>
      <c r="E208" s="90">
        <v>646313.30000000005</v>
      </c>
      <c r="F208" s="90">
        <v>589869.80000000005</v>
      </c>
      <c r="G208" s="90">
        <v>607731.68000000005</v>
      </c>
      <c r="H208" s="90">
        <v>637975.26</v>
      </c>
      <c r="I208" s="90">
        <v>674681.81</v>
      </c>
      <c r="J208" s="90">
        <v>617718.23</v>
      </c>
      <c r="K208" s="90">
        <v>686538.32</v>
      </c>
      <c r="L208" s="90">
        <v>665600.24</v>
      </c>
      <c r="M208" s="90">
        <v>684183.02</v>
      </c>
      <c r="N208" s="90">
        <v>7773208.3499999996</v>
      </c>
    </row>
    <row r="209" spans="1:14" x14ac:dyDescent="0.25">
      <c r="A209" s="87" t="s">
        <v>273</v>
      </c>
      <c r="B209" s="90">
        <v>18967.099999999999</v>
      </c>
      <c r="C209" s="90">
        <v>22362.46</v>
      </c>
      <c r="D209" s="90">
        <v>23708.15</v>
      </c>
      <c r="E209" s="90">
        <v>19878.64</v>
      </c>
      <c r="F209" s="90">
        <v>18877.490000000002</v>
      </c>
      <c r="G209" s="90">
        <v>21152.6</v>
      </c>
      <c r="H209" s="90">
        <v>19769.830000000002</v>
      </c>
      <c r="I209" s="90">
        <v>22990.39</v>
      </c>
      <c r="J209" s="90">
        <v>21116.19</v>
      </c>
      <c r="K209" s="90">
        <v>8981.0300000000007</v>
      </c>
      <c r="L209" s="90">
        <v>4334.42</v>
      </c>
      <c r="M209" s="90">
        <v>5129.97</v>
      </c>
      <c r="N209" s="90">
        <v>207268.27</v>
      </c>
    </row>
    <row r="210" spans="1:14" x14ac:dyDescent="0.25">
      <c r="A210" s="87" t="s">
        <v>274</v>
      </c>
      <c r="B210" s="90">
        <v>14262.92</v>
      </c>
      <c r="C210" s="90">
        <v>12075.2</v>
      </c>
      <c r="D210" s="90">
        <v>11314.11</v>
      </c>
      <c r="E210" s="90">
        <v>11375.95</v>
      </c>
      <c r="F210" s="90">
        <v>9859.92</v>
      </c>
      <c r="G210" s="90">
        <v>16760.89</v>
      </c>
      <c r="H210" s="90">
        <v>13179.25</v>
      </c>
      <c r="I210" s="90">
        <v>14695.31</v>
      </c>
      <c r="J210" s="90">
        <v>14278.16</v>
      </c>
      <c r="K210" s="90">
        <v>10539.37</v>
      </c>
      <c r="L210" s="90">
        <v>12447.52</v>
      </c>
      <c r="M210" s="90">
        <v>11071.66</v>
      </c>
      <c r="N210" s="90">
        <v>151860.26</v>
      </c>
    </row>
    <row r="211" spans="1:14" x14ac:dyDescent="0.25">
      <c r="A211" s="87" t="s">
        <v>275</v>
      </c>
      <c r="B211" s="90">
        <v>11790.89</v>
      </c>
      <c r="C211" s="90">
        <v>12248.67</v>
      </c>
      <c r="D211" s="90">
        <v>12647.57</v>
      </c>
      <c r="E211" s="90">
        <v>12816.51</v>
      </c>
      <c r="F211" s="90">
        <v>11290.93</v>
      </c>
      <c r="G211" s="90">
        <v>11610.9</v>
      </c>
      <c r="H211" s="90">
        <v>11760.14</v>
      </c>
      <c r="I211" s="90">
        <v>12591.78</v>
      </c>
      <c r="J211" s="90">
        <v>11681.07</v>
      </c>
      <c r="K211" s="90">
        <v>121.2</v>
      </c>
      <c r="L211" s="90">
        <v>-128.69</v>
      </c>
      <c r="M211" s="90">
        <v>0</v>
      </c>
      <c r="N211" s="90">
        <v>108430.97</v>
      </c>
    </row>
    <row r="212" spans="1:14" x14ac:dyDescent="0.25">
      <c r="A212" s="87" t="s">
        <v>276</v>
      </c>
      <c r="B212" s="90">
        <v>52570.239999999998</v>
      </c>
      <c r="C212" s="90">
        <v>59395.27</v>
      </c>
      <c r="D212" s="90">
        <v>70576.98</v>
      </c>
      <c r="E212" s="90">
        <v>63336.18</v>
      </c>
      <c r="F212" s="90">
        <v>61569.440000000002</v>
      </c>
      <c r="G212" s="90">
        <v>59011.69</v>
      </c>
      <c r="H212" s="90">
        <v>50407.839999999997</v>
      </c>
      <c r="I212" s="90">
        <v>56671.37</v>
      </c>
      <c r="J212" s="90">
        <v>69614.23</v>
      </c>
      <c r="K212" s="90">
        <v>24126.44</v>
      </c>
      <c r="L212" s="90">
        <v>2155.2600000000002</v>
      </c>
      <c r="M212" s="90">
        <v>2426.38</v>
      </c>
      <c r="N212" s="90">
        <v>571861.31999999995</v>
      </c>
    </row>
    <row r="213" spans="1:14" x14ac:dyDescent="0.25">
      <c r="A213" s="87" t="s">
        <v>277</v>
      </c>
      <c r="B213" s="90">
        <v>27123.85</v>
      </c>
      <c r="C213" s="90">
        <v>26214.31</v>
      </c>
      <c r="D213" s="90">
        <v>23929.439999999999</v>
      </c>
      <c r="E213" s="90">
        <v>24857.75</v>
      </c>
      <c r="F213" s="90">
        <v>27992.9</v>
      </c>
      <c r="G213" s="90">
        <v>91790.86</v>
      </c>
      <c r="H213" s="90">
        <v>523037.7</v>
      </c>
      <c r="I213" s="90">
        <v>1101608.54</v>
      </c>
      <c r="J213" s="90">
        <v>913776.87</v>
      </c>
      <c r="K213" s="90">
        <v>906962.17</v>
      </c>
      <c r="L213" s="90">
        <v>914524.8</v>
      </c>
      <c r="M213" s="90">
        <v>933810.06</v>
      </c>
      <c r="N213" s="90">
        <v>5515629.25</v>
      </c>
    </row>
    <row r="214" spans="1:14" x14ac:dyDescent="0.25">
      <c r="A214" s="87" t="s">
        <v>278</v>
      </c>
      <c r="B214" s="90">
        <v>0</v>
      </c>
      <c r="C214" s="90">
        <v>0</v>
      </c>
      <c r="D214" s="90">
        <v>0</v>
      </c>
      <c r="E214" s="90">
        <v>23.27</v>
      </c>
      <c r="F214" s="90">
        <v>0</v>
      </c>
      <c r="G214" s="90">
        <v>144.97</v>
      </c>
      <c r="H214" s="90">
        <v>-168.24</v>
      </c>
      <c r="I214" s="90">
        <v>0</v>
      </c>
      <c r="J214" s="90">
        <v>0</v>
      </c>
      <c r="K214" s="90">
        <v>0</v>
      </c>
      <c r="L214" s="90">
        <v>0</v>
      </c>
      <c r="M214" s="90">
        <v>0</v>
      </c>
      <c r="N214" s="90">
        <v>0</v>
      </c>
    </row>
    <row r="215" spans="1:14" x14ac:dyDescent="0.25">
      <c r="A215" s="87" t="s">
        <v>279</v>
      </c>
      <c r="B215" s="90">
        <v>3934.26</v>
      </c>
      <c r="C215" s="90">
        <v>3995.91</v>
      </c>
      <c r="D215" s="90">
        <v>3934.26</v>
      </c>
      <c r="E215" s="90">
        <v>4180.8599999999997</v>
      </c>
      <c r="F215" s="90">
        <v>3687.66</v>
      </c>
      <c r="G215" s="90">
        <v>3784.7</v>
      </c>
      <c r="H215" s="90">
        <v>3784.7</v>
      </c>
      <c r="I215" s="90">
        <v>3784.7</v>
      </c>
      <c r="J215" s="90">
        <v>3934.26</v>
      </c>
      <c r="K215" s="90">
        <v>5098.43</v>
      </c>
      <c r="L215" s="90">
        <v>2140.83</v>
      </c>
      <c r="M215" s="90">
        <v>3287.05</v>
      </c>
      <c r="N215" s="90">
        <v>45547.62</v>
      </c>
    </row>
    <row r="216" spans="1:14" x14ac:dyDescent="0.25">
      <c r="A216" s="87" t="s">
        <v>280</v>
      </c>
      <c r="B216" s="90">
        <v>4521.32</v>
      </c>
      <c r="C216" s="90">
        <v>3904.86</v>
      </c>
      <c r="D216" s="90">
        <v>4497.97</v>
      </c>
      <c r="E216" s="90">
        <v>4579.92</v>
      </c>
      <c r="F216" s="90">
        <v>1799.02</v>
      </c>
      <c r="G216" s="90">
        <v>5367.01</v>
      </c>
      <c r="H216" s="90">
        <v>2917.37</v>
      </c>
      <c r="I216" s="90">
        <v>4833.3100000000004</v>
      </c>
      <c r="J216" s="90">
        <v>4934.79</v>
      </c>
      <c r="K216" s="90">
        <v>432.62</v>
      </c>
      <c r="L216" s="90">
        <v>83.07</v>
      </c>
      <c r="M216" s="90">
        <v>752.33</v>
      </c>
      <c r="N216" s="90">
        <v>38623.589999999997</v>
      </c>
    </row>
    <row r="217" spans="1:14" x14ac:dyDescent="0.25">
      <c r="A217" s="87" t="s">
        <v>281</v>
      </c>
      <c r="B217" s="96">
        <v>9304.57</v>
      </c>
      <c r="C217" s="96">
        <v>7730.45</v>
      </c>
      <c r="D217" s="96">
        <v>9627.3799999999992</v>
      </c>
      <c r="E217" s="96">
        <v>8882.56</v>
      </c>
      <c r="F217" s="96">
        <v>8359.4699999999993</v>
      </c>
      <c r="G217" s="96">
        <v>10751.86</v>
      </c>
      <c r="H217" s="96">
        <v>8684.7999999999993</v>
      </c>
      <c r="I217" s="96">
        <v>13442.2</v>
      </c>
      <c r="J217" s="96">
        <v>16873.009999999998</v>
      </c>
      <c r="K217" s="96">
        <v>1425.28</v>
      </c>
      <c r="L217" s="96">
        <v>1867.26</v>
      </c>
      <c r="M217" s="96">
        <v>5358.29</v>
      </c>
      <c r="N217" s="96">
        <v>102307.13</v>
      </c>
    </row>
    <row r="218" spans="1:14" x14ac:dyDescent="0.25">
      <c r="A218" s="94" t="s">
        <v>140</v>
      </c>
      <c r="B218" s="102">
        <v>1653508.73</v>
      </c>
      <c r="C218" s="102">
        <v>1669202.16</v>
      </c>
      <c r="D218" s="102">
        <v>1614346.06</v>
      </c>
      <c r="E218" s="102">
        <v>1647118.17</v>
      </c>
      <c r="F218" s="102">
        <v>1476936.6</v>
      </c>
      <c r="G218" s="102">
        <v>1536563.99</v>
      </c>
      <c r="H218" s="102">
        <v>1447226.52</v>
      </c>
      <c r="I218" s="102">
        <v>1910427.17</v>
      </c>
      <c r="J218" s="102">
        <v>1674621.37</v>
      </c>
      <c r="K218" s="102">
        <v>1645363.64</v>
      </c>
      <c r="L218" s="102">
        <v>1598628.5</v>
      </c>
      <c r="M218" s="102">
        <v>1646509.42</v>
      </c>
      <c r="N218" s="102">
        <v>19520452.329999998</v>
      </c>
    </row>
    <row r="219" spans="1:14" x14ac:dyDescent="0.25">
      <c r="A219" s="87"/>
      <c r="B219" s="88"/>
      <c r="C219" s="88"/>
      <c r="D219" s="88"/>
      <c r="E219" s="88"/>
      <c r="F219" s="88"/>
      <c r="G219" s="88"/>
      <c r="H219" s="88"/>
      <c r="I219" s="88"/>
      <c r="J219" s="88"/>
      <c r="K219" s="88"/>
      <c r="L219" s="88"/>
      <c r="M219" s="88"/>
      <c r="N219" s="88"/>
    </row>
    <row r="220" spans="1:14" x14ac:dyDescent="0.25">
      <c r="A220" s="87" t="s">
        <v>282</v>
      </c>
      <c r="B220" s="90">
        <v>-1103.78</v>
      </c>
      <c r="C220" s="90">
        <v>315.02999999999997</v>
      </c>
      <c r="D220" s="90">
        <v>516</v>
      </c>
      <c r="E220" s="90">
        <v>502.07</v>
      </c>
      <c r="F220" s="90">
        <v>-99.98</v>
      </c>
      <c r="G220" s="90">
        <v>211.45</v>
      </c>
      <c r="H220" s="90">
        <v>-3757.15</v>
      </c>
      <c r="I220" s="90">
        <v>40.86</v>
      </c>
      <c r="J220" s="90">
        <v>630.58000000000004</v>
      </c>
      <c r="K220" s="90">
        <v>369.99</v>
      </c>
      <c r="L220" s="90">
        <v>49.99</v>
      </c>
      <c r="M220" s="90">
        <v>119.68</v>
      </c>
      <c r="N220" s="90">
        <v>-2205.2600000000002</v>
      </c>
    </row>
    <row r="221" spans="1:14" x14ac:dyDescent="0.25">
      <c r="A221" s="87" t="s">
        <v>283</v>
      </c>
      <c r="B221" s="90">
        <v>84.04</v>
      </c>
      <c r="C221" s="90">
        <v>129.94999999999999</v>
      </c>
      <c r="D221" s="90">
        <v>-33</v>
      </c>
      <c r="E221" s="90">
        <v>-33</v>
      </c>
      <c r="F221" s="90">
        <v>85</v>
      </c>
      <c r="G221" s="90">
        <v>0</v>
      </c>
      <c r="H221" s="90">
        <v>2976.44</v>
      </c>
      <c r="I221" s="90">
        <v>0</v>
      </c>
      <c r="J221" s="90">
        <v>55</v>
      </c>
      <c r="K221" s="90">
        <v>249.45</v>
      </c>
      <c r="L221" s="90">
        <v>0</v>
      </c>
      <c r="M221" s="90">
        <v>3425</v>
      </c>
      <c r="N221" s="90">
        <v>6938.88</v>
      </c>
    </row>
    <row r="222" spans="1:14" x14ac:dyDescent="0.25">
      <c r="A222" s="87" t="s">
        <v>284</v>
      </c>
      <c r="B222" s="90">
        <v>-1050.07</v>
      </c>
      <c r="C222" s="90">
        <v>616.66</v>
      </c>
      <c r="D222" s="90">
        <v>616.66999999999996</v>
      </c>
      <c r="E222" s="90">
        <v>616.66</v>
      </c>
      <c r="F222" s="90">
        <v>616.66999999999996</v>
      </c>
      <c r="G222" s="90">
        <v>616.66999999999996</v>
      </c>
      <c r="H222" s="90">
        <v>616.66999999999996</v>
      </c>
      <c r="I222" s="90">
        <v>366.67</v>
      </c>
      <c r="J222" s="90">
        <v>500</v>
      </c>
      <c r="K222" s="90">
        <v>0</v>
      </c>
      <c r="L222" s="90">
        <v>0</v>
      </c>
      <c r="M222" s="90">
        <v>0</v>
      </c>
      <c r="N222" s="90">
        <v>3516.6</v>
      </c>
    </row>
    <row r="223" spans="1:14" x14ac:dyDescent="0.25">
      <c r="A223" s="87" t="s">
        <v>285</v>
      </c>
      <c r="B223" s="90">
        <v>46428.99</v>
      </c>
      <c r="C223" s="90">
        <v>41954.48</v>
      </c>
      <c r="D223" s="90">
        <v>46016.55</v>
      </c>
      <c r="E223" s="90">
        <v>46409.16</v>
      </c>
      <c r="F223" s="90">
        <v>46270.03</v>
      </c>
      <c r="G223" s="90">
        <v>45943.73</v>
      </c>
      <c r="H223" s="90">
        <v>44769.49</v>
      </c>
      <c r="I223" s="90">
        <v>46403.67</v>
      </c>
      <c r="J223" s="90">
        <v>46403.67</v>
      </c>
      <c r="K223" s="90">
        <v>46403.67</v>
      </c>
      <c r="L223" s="90">
        <v>46416.82</v>
      </c>
      <c r="M223" s="90">
        <v>46403.67</v>
      </c>
      <c r="N223" s="90">
        <v>549823.93000000005</v>
      </c>
    </row>
    <row r="224" spans="1:14" x14ac:dyDescent="0.25">
      <c r="A224" s="87" t="s">
        <v>286</v>
      </c>
      <c r="B224" s="90">
        <v>4940</v>
      </c>
      <c r="C224" s="90">
        <v>4680</v>
      </c>
      <c r="D224" s="90">
        <v>4680</v>
      </c>
      <c r="E224" s="90">
        <v>4680</v>
      </c>
      <c r="F224" s="90">
        <v>4680</v>
      </c>
      <c r="G224" s="90">
        <v>4680</v>
      </c>
      <c r="H224" s="90">
        <v>4680</v>
      </c>
      <c r="I224" s="90">
        <v>4680</v>
      </c>
      <c r="J224" s="90">
        <v>4680</v>
      </c>
      <c r="K224" s="90">
        <v>4680</v>
      </c>
      <c r="L224" s="90">
        <v>4680</v>
      </c>
      <c r="M224" s="90">
        <v>4680</v>
      </c>
      <c r="N224" s="90">
        <v>56420</v>
      </c>
    </row>
    <row r="225" spans="1:14" x14ac:dyDescent="0.25">
      <c r="A225" s="87" t="s">
        <v>287</v>
      </c>
      <c r="B225" s="90">
        <v>7155.51</v>
      </c>
      <c r="C225" s="90">
        <v>1506.9</v>
      </c>
      <c r="D225" s="90">
        <v>6490.08</v>
      </c>
      <c r="E225" s="90">
        <v>5804.91</v>
      </c>
      <c r="F225" s="90">
        <v>6381.25</v>
      </c>
      <c r="G225" s="90">
        <v>12155.21</v>
      </c>
      <c r="H225" s="90">
        <v>9082.06</v>
      </c>
      <c r="I225" s="90">
        <v>13217.01</v>
      </c>
      <c r="J225" s="90">
        <v>6215.09</v>
      </c>
      <c r="K225" s="90">
        <v>10353.51</v>
      </c>
      <c r="L225" s="90">
        <v>9945.91</v>
      </c>
      <c r="M225" s="90">
        <v>9252.2999999999993</v>
      </c>
      <c r="N225" s="90">
        <v>97559.74</v>
      </c>
    </row>
    <row r="226" spans="1:14" x14ac:dyDescent="0.25">
      <c r="A226" s="87" t="s">
        <v>288</v>
      </c>
      <c r="B226" s="90">
        <v>378971.82</v>
      </c>
      <c r="C226" s="90">
        <v>233907.71</v>
      </c>
      <c r="D226" s="90">
        <v>233524.33</v>
      </c>
      <c r="E226" s="90">
        <v>371230.18</v>
      </c>
      <c r="F226" s="90">
        <v>371282.28</v>
      </c>
      <c r="G226" s="90">
        <v>371262.39</v>
      </c>
      <c r="H226" s="90">
        <v>370183.93</v>
      </c>
      <c r="I226" s="90">
        <v>371282.28</v>
      </c>
      <c r="J226" s="90">
        <v>371282.27</v>
      </c>
      <c r="K226" s="90">
        <v>371282.28</v>
      </c>
      <c r="L226" s="90">
        <v>365729.99</v>
      </c>
      <c r="M226" s="90">
        <v>344258.2</v>
      </c>
      <c r="N226" s="90">
        <v>4154197.66</v>
      </c>
    </row>
    <row r="227" spans="1:14" x14ac:dyDescent="0.25">
      <c r="A227" s="87" t="s">
        <v>289</v>
      </c>
      <c r="B227" s="90">
        <v>53912.9</v>
      </c>
      <c r="C227" s="90">
        <v>53912.9</v>
      </c>
      <c r="D227" s="90">
        <v>53912.9</v>
      </c>
      <c r="E227" s="90">
        <v>53912.9</v>
      </c>
      <c r="F227" s="90">
        <v>53912.9</v>
      </c>
      <c r="G227" s="90">
        <v>53912.89</v>
      </c>
      <c r="H227" s="90">
        <v>53912.89</v>
      </c>
      <c r="I227" s="90">
        <v>53526.58</v>
      </c>
      <c r="J227" s="90">
        <v>103953.32</v>
      </c>
      <c r="K227" s="90">
        <v>79321.289999999994</v>
      </c>
      <c r="L227" s="90">
        <v>83805.67</v>
      </c>
      <c r="M227" s="90">
        <v>79321.289999999994</v>
      </c>
      <c r="N227" s="90">
        <v>777318.43</v>
      </c>
    </row>
    <row r="228" spans="1:14" x14ac:dyDescent="0.25">
      <c r="A228" s="87" t="s">
        <v>290</v>
      </c>
      <c r="B228" s="90">
        <v>10162.82</v>
      </c>
      <c r="C228" s="90">
        <v>10162.82</v>
      </c>
      <c r="D228" s="90">
        <v>10162.82</v>
      </c>
      <c r="E228" s="90">
        <v>10162.83</v>
      </c>
      <c r="F228" s="90">
        <v>10162.83</v>
      </c>
      <c r="G228" s="90">
        <v>10162.86</v>
      </c>
      <c r="H228" s="90">
        <v>10162.86</v>
      </c>
      <c r="I228" s="90">
        <v>10162.86</v>
      </c>
      <c r="J228" s="90">
        <v>8004.94</v>
      </c>
      <c r="K228" s="90">
        <v>9083.9</v>
      </c>
      <c r="L228" s="90">
        <v>9083.9</v>
      </c>
      <c r="M228" s="90">
        <v>8676.64</v>
      </c>
      <c r="N228" s="90">
        <v>116152.08</v>
      </c>
    </row>
    <row r="229" spans="1:14" x14ac:dyDescent="0.25">
      <c r="A229" s="87" t="s">
        <v>291</v>
      </c>
      <c r="B229" s="90">
        <v>32.28</v>
      </c>
      <c r="C229" s="90">
        <v>0</v>
      </c>
      <c r="D229" s="90">
        <v>32.28</v>
      </c>
      <c r="E229" s="90">
        <v>52.11</v>
      </c>
      <c r="F229" s="90">
        <v>52.11</v>
      </c>
      <c r="G229" s="90">
        <v>52.11</v>
      </c>
      <c r="H229" s="90">
        <v>52.11</v>
      </c>
      <c r="I229" s="90">
        <v>52.11</v>
      </c>
      <c r="J229" s="90">
        <v>82.12</v>
      </c>
      <c r="K229" s="90">
        <v>52.11</v>
      </c>
      <c r="L229" s="90">
        <v>52.11</v>
      </c>
      <c r="M229" s="90">
        <v>52.11</v>
      </c>
      <c r="N229" s="90">
        <v>563.55999999999995</v>
      </c>
    </row>
    <row r="230" spans="1:14" x14ac:dyDescent="0.25">
      <c r="A230" s="87" t="s">
        <v>292</v>
      </c>
      <c r="B230" s="96">
        <v>741.7</v>
      </c>
      <c r="C230" s="96">
        <v>741.7</v>
      </c>
      <c r="D230" s="96">
        <v>7616.79</v>
      </c>
      <c r="E230" s="96">
        <v>5225</v>
      </c>
      <c r="F230" s="96">
        <v>1378.57</v>
      </c>
      <c r="G230" s="96">
        <v>1066.08</v>
      </c>
      <c r="H230" s="96">
        <v>1066.08</v>
      </c>
      <c r="I230" s="96">
        <v>1307.22</v>
      </c>
      <c r="J230" s="96">
        <v>1080.3</v>
      </c>
      <c r="K230" s="96">
        <v>1020.48</v>
      </c>
      <c r="L230" s="96">
        <v>1121.98</v>
      </c>
      <c r="M230" s="96">
        <v>739.1</v>
      </c>
      <c r="N230" s="96">
        <v>23105</v>
      </c>
    </row>
    <row r="231" spans="1:14" x14ac:dyDescent="0.25">
      <c r="A231" s="94" t="s">
        <v>293</v>
      </c>
      <c r="B231" s="102">
        <v>500276.21</v>
      </c>
      <c r="C231" s="102">
        <v>347928.15</v>
      </c>
      <c r="D231" s="102">
        <v>363535.42</v>
      </c>
      <c r="E231" s="102">
        <v>498562.82</v>
      </c>
      <c r="F231" s="102">
        <v>494721.66</v>
      </c>
      <c r="G231" s="102">
        <v>500063.39</v>
      </c>
      <c r="H231" s="102">
        <v>493745.38</v>
      </c>
      <c r="I231" s="102">
        <v>501039.26</v>
      </c>
      <c r="J231" s="102">
        <v>542887.29</v>
      </c>
      <c r="K231" s="102">
        <v>522816.68</v>
      </c>
      <c r="L231" s="102">
        <v>520886.37</v>
      </c>
      <c r="M231" s="102">
        <v>496927.99</v>
      </c>
      <c r="N231" s="102">
        <v>5783390.6200000001</v>
      </c>
    </row>
    <row r="232" spans="1:14" x14ac:dyDescent="0.25">
      <c r="A232" s="87"/>
      <c r="B232" s="88"/>
      <c r="C232" s="88"/>
      <c r="D232" s="88"/>
      <c r="E232" s="88"/>
      <c r="F232" s="88"/>
      <c r="G232" s="88"/>
      <c r="H232" s="88"/>
      <c r="I232" s="88"/>
      <c r="J232" s="88"/>
      <c r="K232" s="88"/>
      <c r="L232" s="88"/>
      <c r="M232" s="88"/>
      <c r="N232" s="88"/>
    </row>
    <row r="233" spans="1:14" x14ac:dyDescent="0.25">
      <c r="A233" s="87" t="s">
        <v>294</v>
      </c>
      <c r="B233" s="90">
        <v>149274.69</v>
      </c>
      <c r="C233" s="90">
        <v>139859.93</v>
      </c>
      <c r="D233" s="90">
        <v>128785.07</v>
      </c>
      <c r="E233" s="90">
        <v>155666.59</v>
      </c>
      <c r="F233" s="90">
        <v>139559.73000000001</v>
      </c>
      <c r="G233" s="90">
        <v>148541.06</v>
      </c>
      <c r="H233" s="90">
        <v>147728.01999999999</v>
      </c>
      <c r="I233" s="90">
        <v>149219.48000000001</v>
      </c>
      <c r="J233" s="90">
        <v>141774.64000000001</v>
      </c>
      <c r="K233" s="90">
        <v>139681.53</v>
      </c>
      <c r="L233" s="90">
        <v>150303.20000000001</v>
      </c>
      <c r="M233" s="90">
        <v>124041.32</v>
      </c>
      <c r="N233" s="90">
        <v>1714435.26</v>
      </c>
    </row>
    <row r="234" spans="1:14" x14ac:dyDescent="0.25">
      <c r="A234" s="87" t="s">
        <v>295</v>
      </c>
      <c r="B234" s="90">
        <v>730.89</v>
      </c>
      <c r="C234" s="90">
        <v>446.23</v>
      </c>
      <c r="D234" s="90">
        <v>729.95</v>
      </c>
      <c r="E234" s="90">
        <v>728.71</v>
      </c>
      <c r="F234" s="90">
        <v>339.53</v>
      </c>
      <c r="G234" s="90">
        <v>692.4</v>
      </c>
      <c r="H234" s="90">
        <v>657.46</v>
      </c>
      <c r="I234" s="90">
        <v>607.15</v>
      </c>
      <c r="J234" s="90">
        <v>704.77</v>
      </c>
      <c r="K234" s="90">
        <v>579.54</v>
      </c>
      <c r="L234" s="90">
        <v>715.74</v>
      </c>
      <c r="M234" s="90">
        <v>564.91</v>
      </c>
      <c r="N234" s="90">
        <v>7497.28</v>
      </c>
    </row>
    <row r="235" spans="1:14" x14ac:dyDescent="0.25">
      <c r="A235" s="87" t="s">
        <v>296</v>
      </c>
      <c r="B235" s="90">
        <v>5914.76</v>
      </c>
      <c r="C235" s="90">
        <v>16363.44</v>
      </c>
      <c r="D235" s="90">
        <v>25712.01</v>
      </c>
      <c r="E235" s="90">
        <v>10610.46</v>
      </c>
      <c r="F235" s="90">
        <v>4818.33</v>
      </c>
      <c r="G235" s="90">
        <v>9711.15</v>
      </c>
      <c r="H235" s="90">
        <v>8608.4699999999993</v>
      </c>
      <c r="I235" s="90">
        <v>9778.81</v>
      </c>
      <c r="J235" s="90">
        <v>10250.16</v>
      </c>
      <c r="K235" s="90">
        <v>18768.939999999999</v>
      </c>
      <c r="L235" s="90">
        <v>9116.26</v>
      </c>
      <c r="M235" s="90">
        <v>9156.99</v>
      </c>
      <c r="N235" s="90">
        <v>138809.78</v>
      </c>
    </row>
    <row r="236" spans="1:14" x14ac:dyDescent="0.25">
      <c r="A236" s="87" t="s">
        <v>297</v>
      </c>
      <c r="B236" s="90">
        <v>-237.31</v>
      </c>
      <c r="C236" s="90">
        <v>1192.98</v>
      </c>
      <c r="D236" s="90">
        <v>-2681.55</v>
      </c>
      <c r="E236" s="90">
        <v>1178.8</v>
      </c>
      <c r="F236" s="90">
        <v>409.7</v>
      </c>
      <c r="G236" s="90">
        <v>381.26</v>
      </c>
      <c r="H236" s="90">
        <v>-278.77999999999997</v>
      </c>
      <c r="I236" s="90">
        <v>819.74</v>
      </c>
      <c r="J236" s="90">
        <v>-556.84</v>
      </c>
      <c r="K236" s="90">
        <v>-1976.46</v>
      </c>
      <c r="L236" s="90">
        <v>-3043.45</v>
      </c>
      <c r="M236" s="90">
        <v>3828.57</v>
      </c>
      <c r="N236" s="90">
        <v>-963.34</v>
      </c>
    </row>
    <row r="237" spans="1:14" x14ac:dyDescent="0.25">
      <c r="A237" s="87" t="s">
        <v>298</v>
      </c>
      <c r="B237" s="90">
        <v>10432.39</v>
      </c>
      <c r="C237" s="90">
        <v>10842.88</v>
      </c>
      <c r="D237" s="90">
        <v>10843.78</v>
      </c>
      <c r="E237" s="90">
        <v>11058.9</v>
      </c>
      <c r="F237" s="90">
        <v>10449.31</v>
      </c>
      <c r="G237" s="90">
        <v>10433.41</v>
      </c>
      <c r="H237" s="90">
        <v>10700</v>
      </c>
      <c r="I237" s="90">
        <v>8111.87</v>
      </c>
      <c r="J237" s="90">
        <v>8602.9599999999991</v>
      </c>
      <c r="K237" s="90">
        <v>8639.58</v>
      </c>
      <c r="L237" s="90">
        <v>7868.01</v>
      </c>
      <c r="M237" s="90">
        <v>7308.76</v>
      </c>
      <c r="N237" s="90">
        <v>115291.85</v>
      </c>
    </row>
    <row r="238" spans="1:14" x14ac:dyDescent="0.25">
      <c r="A238" s="87" t="s">
        <v>299</v>
      </c>
      <c r="B238" s="90">
        <v>11519.46</v>
      </c>
      <c r="C238" s="90">
        <v>11612.48</v>
      </c>
      <c r="D238" s="90">
        <v>8685.5499999999993</v>
      </c>
      <c r="E238" s="90">
        <v>20548.12</v>
      </c>
      <c r="F238" s="90">
        <v>12661.93</v>
      </c>
      <c r="G238" s="90">
        <v>12368.39</v>
      </c>
      <c r="H238" s="90">
        <v>12048.44</v>
      </c>
      <c r="I238" s="90">
        <v>12139.84</v>
      </c>
      <c r="J238" s="90">
        <v>11617.43</v>
      </c>
      <c r="K238" s="90">
        <v>12011.97</v>
      </c>
      <c r="L238" s="90">
        <v>12200.27</v>
      </c>
      <c r="M238" s="90">
        <v>10183.69</v>
      </c>
      <c r="N238" s="90">
        <v>147597.57</v>
      </c>
    </row>
    <row r="239" spans="1:14" x14ac:dyDescent="0.25">
      <c r="A239" s="87" t="s">
        <v>13</v>
      </c>
      <c r="B239" s="90">
        <v>222105.92</v>
      </c>
      <c r="C239" s="90">
        <v>233981.77</v>
      </c>
      <c r="D239" s="90">
        <v>186535.83</v>
      </c>
      <c r="E239" s="90">
        <v>230618.17</v>
      </c>
      <c r="F239" s="90">
        <v>206355.4</v>
      </c>
      <c r="G239" s="90">
        <v>194070.9</v>
      </c>
      <c r="H239" s="90">
        <v>192534.81</v>
      </c>
      <c r="I239" s="90">
        <v>202449.11</v>
      </c>
      <c r="J239" s="90">
        <v>240521.18</v>
      </c>
      <c r="K239" s="90">
        <v>257381.13</v>
      </c>
      <c r="L239" s="90">
        <v>265017.75</v>
      </c>
      <c r="M239" s="90">
        <v>275390.45</v>
      </c>
      <c r="N239" s="90">
        <v>2706962.42</v>
      </c>
    </row>
    <row r="240" spans="1:14" x14ac:dyDescent="0.25">
      <c r="A240" s="87" t="s">
        <v>141</v>
      </c>
      <c r="B240" s="90">
        <v>36339.599999999999</v>
      </c>
      <c r="C240" s="90">
        <v>38864.46</v>
      </c>
      <c r="D240" s="90">
        <v>32954.93</v>
      </c>
      <c r="E240" s="90">
        <v>52283.68</v>
      </c>
      <c r="F240" s="90">
        <v>49320.63</v>
      </c>
      <c r="G240" s="90">
        <v>47180.35</v>
      </c>
      <c r="H240" s="90">
        <v>45148.89</v>
      </c>
      <c r="I240" s="90">
        <v>33104.01</v>
      </c>
      <c r="J240" s="90">
        <v>36268.33</v>
      </c>
      <c r="K240" s="90">
        <v>20669.89</v>
      </c>
      <c r="L240" s="90">
        <v>31461.09</v>
      </c>
      <c r="M240" s="90">
        <v>34845.14</v>
      </c>
      <c r="N240" s="90">
        <v>458441</v>
      </c>
    </row>
    <row r="241" spans="1:14" x14ac:dyDescent="0.25">
      <c r="A241" s="87" t="s">
        <v>300</v>
      </c>
      <c r="B241" s="90">
        <v>164491.4</v>
      </c>
      <c r="C241" s="90">
        <v>170826.99</v>
      </c>
      <c r="D241" s="90">
        <v>165430.06</v>
      </c>
      <c r="E241" s="90">
        <v>180618.1</v>
      </c>
      <c r="F241" s="90">
        <v>190142</v>
      </c>
      <c r="G241" s="90">
        <v>167001.64000000001</v>
      </c>
      <c r="H241" s="90">
        <v>175519.82</v>
      </c>
      <c r="I241" s="90">
        <v>148854.26999999999</v>
      </c>
      <c r="J241" s="90">
        <v>174945.63</v>
      </c>
      <c r="K241" s="90">
        <v>201121.05</v>
      </c>
      <c r="L241" s="90">
        <v>189936.94</v>
      </c>
      <c r="M241" s="90">
        <v>206578.76</v>
      </c>
      <c r="N241" s="90">
        <v>2135466.66</v>
      </c>
    </row>
    <row r="242" spans="1:14" x14ac:dyDescent="0.25">
      <c r="A242" s="87" t="s">
        <v>301</v>
      </c>
      <c r="B242" s="90">
        <v>13428.47</v>
      </c>
      <c r="C242" s="90">
        <v>12369.37</v>
      </c>
      <c r="D242" s="90">
        <v>11876.19</v>
      </c>
      <c r="E242" s="90">
        <v>12087.64</v>
      </c>
      <c r="F242" s="90">
        <v>14174.44</v>
      </c>
      <c r="G242" s="90">
        <v>13341.23</v>
      </c>
      <c r="H242" s="90">
        <v>17623.189999999999</v>
      </c>
      <c r="I242" s="90">
        <v>13157.07</v>
      </c>
      <c r="J242" s="90">
        <v>17165.55</v>
      </c>
      <c r="K242" s="90">
        <v>11232.81</v>
      </c>
      <c r="L242" s="90">
        <v>15904.48</v>
      </c>
      <c r="M242" s="90">
        <v>10065.34</v>
      </c>
      <c r="N242" s="90">
        <v>162425.78</v>
      </c>
    </row>
    <row r="243" spans="1:14" x14ac:dyDescent="0.25">
      <c r="A243" s="87" t="s">
        <v>302</v>
      </c>
      <c r="B243" s="90">
        <v>62232.82</v>
      </c>
      <c r="C243" s="90">
        <v>76755.64</v>
      </c>
      <c r="D243" s="90">
        <v>47373.72</v>
      </c>
      <c r="E243" s="90">
        <v>73481.03</v>
      </c>
      <c r="F243" s="90">
        <v>41507.21</v>
      </c>
      <c r="G243" s="90">
        <v>58365.58</v>
      </c>
      <c r="H243" s="90">
        <v>53178.96</v>
      </c>
      <c r="I243" s="90">
        <v>50666.76</v>
      </c>
      <c r="J243" s="90">
        <v>65036.31</v>
      </c>
      <c r="K243" s="90">
        <v>47459.49</v>
      </c>
      <c r="L243" s="90">
        <v>58006.19</v>
      </c>
      <c r="M243" s="90">
        <v>61000.12</v>
      </c>
      <c r="N243" s="90">
        <v>695063.83</v>
      </c>
    </row>
    <row r="244" spans="1:14" x14ac:dyDescent="0.25">
      <c r="A244" s="87" t="s">
        <v>142</v>
      </c>
      <c r="B244" s="90">
        <v>70421.850000000006</v>
      </c>
      <c r="C244" s="90">
        <v>74123.13</v>
      </c>
      <c r="D244" s="90">
        <v>76224.789999999994</v>
      </c>
      <c r="E244" s="90">
        <v>97828.18</v>
      </c>
      <c r="F244" s="90">
        <v>94094.67</v>
      </c>
      <c r="G244" s="90">
        <v>88834.13</v>
      </c>
      <c r="H244" s="90">
        <v>95148.06</v>
      </c>
      <c r="I244" s="90">
        <v>95423.62</v>
      </c>
      <c r="J244" s="90">
        <v>58003.95</v>
      </c>
      <c r="K244" s="90">
        <v>64277.1</v>
      </c>
      <c r="L244" s="90">
        <v>60445.24</v>
      </c>
      <c r="M244" s="90">
        <v>63888.9</v>
      </c>
      <c r="N244" s="90">
        <v>938713.62</v>
      </c>
    </row>
    <row r="245" spans="1:14" x14ac:dyDescent="0.25">
      <c r="A245" s="87" t="s">
        <v>143</v>
      </c>
      <c r="B245" s="90">
        <v>40745.83</v>
      </c>
      <c r="C245" s="90">
        <v>48580.3</v>
      </c>
      <c r="D245" s="90">
        <v>44636.35</v>
      </c>
      <c r="E245" s="90">
        <v>53898.81</v>
      </c>
      <c r="F245" s="90">
        <v>50323.81</v>
      </c>
      <c r="G245" s="90">
        <v>59147.76</v>
      </c>
      <c r="H245" s="90">
        <v>18716.900000000001</v>
      </c>
      <c r="I245" s="90">
        <v>49961.91</v>
      </c>
      <c r="J245" s="90">
        <v>48901.71</v>
      </c>
      <c r="K245" s="90">
        <v>53128.77</v>
      </c>
      <c r="L245" s="90">
        <v>47921.18</v>
      </c>
      <c r="M245" s="90">
        <v>48683.839999999997</v>
      </c>
      <c r="N245" s="90">
        <v>564647.17000000004</v>
      </c>
    </row>
    <row r="246" spans="1:14" x14ac:dyDescent="0.25">
      <c r="A246" s="87" t="s">
        <v>144</v>
      </c>
      <c r="B246" s="90">
        <v>43291.5</v>
      </c>
      <c r="C246" s="90">
        <v>45485.43</v>
      </c>
      <c r="D246" s="90">
        <v>33783.32</v>
      </c>
      <c r="E246" s="90">
        <v>46468.94</v>
      </c>
      <c r="F246" s="90">
        <v>35924.720000000001</v>
      </c>
      <c r="G246" s="90">
        <v>35213.39</v>
      </c>
      <c r="H246" s="90">
        <v>31705.38</v>
      </c>
      <c r="I246" s="90">
        <v>40055.96</v>
      </c>
      <c r="J246" s="90">
        <v>34532.78</v>
      </c>
      <c r="K246" s="90">
        <v>37420.06</v>
      </c>
      <c r="L246" s="90">
        <v>35576.870000000003</v>
      </c>
      <c r="M246" s="90">
        <v>25240.84</v>
      </c>
      <c r="N246" s="90">
        <v>444699.19</v>
      </c>
    </row>
    <row r="247" spans="1:14" x14ac:dyDescent="0.25">
      <c r="A247" s="87" t="s">
        <v>145</v>
      </c>
      <c r="B247" s="90">
        <v>43628.73</v>
      </c>
      <c r="C247" s="90">
        <v>47215.94</v>
      </c>
      <c r="D247" s="90">
        <v>53395.360000000001</v>
      </c>
      <c r="E247" s="90">
        <v>35268.32</v>
      </c>
      <c r="F247" s="90">
        <v>48343.26</v>
      </c>
      <c r="G247" s="90">
        <v>40371.730000000003</v>
      </c>
      <c r="H247" s="90">
        <v>47558.23</v>
      </c>
      <c r="I247" s="90">
        <v>7595.29</v>
      </c>
      <c r="J247" s="90">
        <v>39285.760000000002</v>
      </c>
      <c r="K247" s="90">
        <v>31691.88</v>
      </c>
      <c r="L247" s="90">
        <v>53225.07</v>
      </c>
      <c r="M247" s="90">
        <v>43355.33</v>
      </c>
      <c r="N247" s="90">
        <v>490934.9</v>
      </c>
    </row>
    <row r="248" spans="1:14" x14ac:dyDescent="0.25">
      <c r="A248" s="87" t="s">
        <v>303</v>
      </c>
      <c r="B248" s="90">
        <v>50421.07</v>
      </c>
      <c r="C248" s="90">
        <v>51860.04</v>
      </c>
      <c r="D248" s="90">
        <v>48603.72</v>
      </c>
      <c r="E248" s="90">
        <v>59688.73</v>
      </c>
      <c r="F248" s="90">
        <v>43586.62</v>
      </c>
      <c r="G248" s="90">
        <v>42082.62</v>
      </c>
      <c r="H248" s="90">
        <v>50295.18</v>
      </c>
      <c r="I248" s="90">
        <v>49857.37</v>
      </c>
      <c r="J248" s="90">
        <v>42157.5</v>
      </c>
      <c r="K248" s="90">
        <v>39727.68</v>
      </c>
      <c r="L248" s="90">
        <v>37785.050000000003</v>
      </c>
      <c r="M248" s="90">
        <v>47170.46</v>
      </c>
      <c r="N248" s="90">
        <v>563236.04</v>
      </c>
    </row>
    <row r="249" spans="1:14" x14ac:dyDescent="0.25">
      <c r="A249" s="87" t="s">
        <v>304</v>
      </c>
      <c r="B249" s="90">
        <v>50576.55</v>
      </c>
      <c r="C249" s="90">
        <v>67476.009999999995</v>
      </c>
      <c r="D249" s="90">
        <v>99820.81</v>
      </c>
      <c r="E249" s="90">
        <v>79062.070000000007</v>
      </c>
      <c r="F249" s="90">
        <v>72484.91</v>
      </c>
      <c r="G249" s="90">
        <v>82880.990000000005</v>
      </c>
      <c r="H249" s="90">
        <v>63141.9</v>
      </c>
      <c r="I249" s="90">
        <v>89274.23</v>
      </c>
      <c r="J249" s="90">
        <v>90565.28</v>
      </c>
      <c r="K249" s="90">
        <v>67900.78</v>
      </c>
      <c r="L249" s="90">
        <v>98122.6</v>
      </c>
      <c r="M249" s="90">
        <v>25336.06</v>
      </c>
      <c r="N249" s="90">
        <v>886642.19</v>
      </c>
    </row>
    <row r="250" spans="1:14" x14ac:dyDescent="0.25">
      <c r="A250" s="87" t="s">
        <v>305</v>
      </c>
      <c r="B250" s="90">
        <v>14690.03</v>
      </c>
      <c r="C250" s="90">
        <v>37519.910000000003</v>
      </c>
      <c r="D250" s="90">
        <v>22907.06</v>
      </c>
      <c r="E250" s="90">
        <v>25448.32</v>
      </c>
      <c r="F250" s="90">
        <v>22096.76</v>
      </c>
      <c r="G250" s="90">
        <v>22385.279999999999</v>
      </c>
      <c r="H250" s="90">
        <v>20877.78</v>
      </c>
      <c r="I250" s="90">
        <v>21773.3</v>
      </c>
      <c r="J250" s="90">
        <v>32885.21</v>
      </c>
      <c r="K250" s="90">
        <v>38487.14</v>
      </c>
      <c r="L250" s="90">
        <v>22902.32</v>
      </c>
      <c r="M250" s="90">
        <v>35008.120000000003</v>
      </c>
      <c r="N250" s="90">
        <v>316981.23</v>
      </c>
    </row>
    <row r="251" spans="1:14" x14ac:dyDescent="0.25">
      <c r="A251" s="87" t="s">
        <v>306</v>
      </c>
      <c r="B251" s="90">
        <v>8772.1299999999992</v>
      </c>
      <c r="C251" s="90">
        <v>7817.36</v>
      </c>
      <c r="D251" s="90">
        <v>7026</v>
      </c>
      <c r="E251" s="90">
        <v>2530.42</v>
      </c>
      <c r="F251" s="90">
        <v>2364.5700000000002</v>
      </c>
      <c r="G251" s="90">
        <v>3031.13</v>
      </c>
      <c r="H251" s="90">
        <v>5664.75</v>
      </c>
      <c r="I251" s="90">
        <v>3478.37</v>
      </c>
      <c r="J251" s="90">
        <v>5861.14</v>
      </c>
      <c r="K251" s="90">
        <v>4850.29</v>
      </c>
      <c r="L251" s="90">
        <v>-3419.95</v>
      </c>
      <c r="M251" s="90">
        <v>2479.48</v>
      </c>
      <c r="N251" s="90">
        <v>50455.69</v>
      </c>
    </row>
    <row r="252" spans="1:14" x14ac:dyDescent="0.25">
      <c r="A252" s="87" t="s">
        <v>307</v>
      </c>
      <c r="B252" s="90">
        <v>30769.73</v>
      </c>
      <c r="C252" s="90">
        <v>25252.11</v>
      </c>
      <c r="D252" s="90">
        <v>35392.120000000003</v>
      </c>
      <c r="E252" s="90">
        <v>28670.95</v>
      </c>
      <c r="F252" s="90">
        <v>26279.59</v>
      </c>
      <c r="G252" s="90">
        <v>25795.89</v>
      </c>
      <c r="H252" s="90">
        <v>31397.34</v>
      </c>
      <c r="I252" s="90">
        <v>34274.629999999997</v>
      </c>
      <c r="J252" s="90">
        <v>25407.75</v>
      </c>
      <c r="K252" s="90">
        <v>33344.43</v>
      </c>
      <c r="L252" s="90">
        <v>22316.27</v>
      </c>
      <c r="M252" s="90">
        <v>27469.23</v>
      </c>
      <c r="N252" s="90">
        <v>346370.04</v>
      </c>
    </row>
    <row r="253" spans="1:14" x14ac:dyDescent="0.25">
      <c r="A253" s="87" t="s">
        <v>146</v>
      </c>
      <c r="B253" s="90">
        <v>7961.47</v>
      </c>
      <c r="C253" s="90">
        <v>3932.31</v>
      </c>
      <c r="D253" s="90">
        <v>3997.93</v>
      </c>
      <c r="E253" s="90">
        <v>-565.98</v>
      </c>
      <c r="F253" s="90">
        <v>700</v>
      </c>
      <c r="G253" s="90">
        <v>700</v>
      </c>
      <c r="H253" s="90">
        <v>700</v>
      </c>
      <c r="I253" s="90">
        <v>700</v>
      </c>
      <c r="J253" s="90">
        <v>837.26</v>
      </c>
      <c r="K253" s="90">
        <v>700</v>
      </c>
      <c r="L253" s="90">
        <v>700</v>
      </c>
      <c r="M253" s="90">
        <v>700</v>
      </c>
      <c r="N253" s="90">
        <v>21062.99</v>
      </c>
    </row>
    <row r="254" spans="1:14" x14ac:dyDescent="0.25">
      <c r="A254" s="87" t="s">
        <v>147</v>
      </c>
      <c r="B254" s="90">
        <v>8669.57</v>
      </c>
      <c r="C254" s="90">
        <v>11851.74</v>
      </c>
      <c r="D254" s="90">
        <v>8458.49</v>
      </c>
      <c r="E254" s="90">
        <v>8161.61</v>
      </c>
      <c r="F254" s="90">
        <v>11307.67</v>
      </c>
      <c r="G254" s="90">
        <v>11185.51</v>
      </c>
      <c r="H254" s="90">
        <v>9107.06</v>
      </c>
      <c r="I254" s="90">
        <v>9660.99</v>
      </c>
      <c r="J254" s="90">
        <v>10610.61</v>
      </c>
      <c r="K254" s="90">
        <v>9348.4500000000007</v>
      </c>
      <c r="L254" s="90">
        <v>14934.55</v>
      </c>
      <c r="M254" s="90">
        <v>16447.830000000002</v>
      </c>
      <c r="N254" s="90">
        <v>129744.08</v>
      </c>
    </row>
    <row r="255" spans="1:14" x14ac:dyDescent="0.25">
      <c r="A255" s="87" t="s">
        <v>148</v>
      </c>
      <c r="B255" s="90">
        <v>9895.91</v>
      </c>
      <c r="C255" s="90">
        <v>1068.78</v>
      </c>
      <c r="D255" s="90">
        <v>4139.72</v>
      </c>
      <c r="E255" s="90">
        <v>4273.71</v>
      </c>
      <c r="F255" s="90">
        <v>5556.06</v>
      </c>
      <c r="G255" s="90">
        <v>2272.94</v>
      </c>
      <c r="H255" s="90">
        <v>7222.87</v>
      </c>
      <c r="I255" s="90">
        <v>-4209.16</v>
      </c>
      <c r="J255" s="90">
        <v>4199.96</v>
      </c>
      <c r="K255" s="90">
        <v>9180.32</v>
      </c>
      <c r="L255" s="90">
        <v>5715.65</v>
      </c>
      <c r="M255" s="90">
        <v>3787.67</v>
      </c>
      <c r="N255" s="90">
        <v>53104.43</v>
      </c>
    </row>
    <row r="256" spans="1:14" x14ac:dyDescent="0.25">
      <c r="A256" s="87" t="s">
        <v>149</v>
      </c>
      <c r="B256" s="90">
        <v>25391.48</v>
      </c>
      <c r="C256" s="90">
        <v>25349.599999999999</v>
      </c>
      <c r="D256" s="90">
        <v>23006.67</v>
      </c>
      <c r="E256" s="90">
        <v>20873.28</v>
      </c>
      <c r="F256" s="90">
        <v>36808.239999999998</v>
      </c>
      <c r="G256" s="90">
        <v>24326.66</v>
      </c>
      <c r="H256" s="90">
        <v>25219.37</v>
      </c>
      <c r="I256" s="90">
        <v>23186.639999999999</v>
      </c>
      <c r="J256" s="90">
        <v>14594.15</v>
      </c>
      <c r="K256" s="90">
        <v>20560.39</v>
      </c>
      <c r="L256" s="90">
        <v>21031.56</v>
      </c>
      <c r="M256" s="90">
        <v>20739.57</v>
      </c>
      <c r="N256" s="90">
        <v>281087.61</v>
      </c>
    </row>
    <row r="257" spans="1:14" x14ac:dyDescent="0.25">
      <c r="A257" s="87" t="s">
        <v>150</v>
      </c>
      <c r="B257" s="96">
        <v>46915.7</v>
      </c>
      <c r="C257" s="96">
        <v>49034.59</v>
      </c>
      <c r="D257" s="96">
        <v>50569.11</v>
      </c>
      <c r="E257" s="96">
        <v>46236.04</v>
      </c>
      <c r="F257" s="96">
        <v>46431.07</v>
      </c>
      <c r="G257" s="96">
        <v>38720.92</v>
      </c>
      <c r="H257" s="96">
        <v>42051.07</v>
      </c>
      <c r="I257" s="96">
        <v>57590.720000000001</v>
      </c>
      <c r="J257" s="96">
        <v>51674.12</v>
      </c>
      <c r="K257" s="96">
        <v>56166.12</v>
      </c>
      <c r="L257" s="96">
        <v>55278.97</v>
      </c>
      <c r="M257" s="96">
        <v>32053.21</v>
      </c>
      <c r="N257" s="96">
        <v>572721.64</v>
      </c>
    </row>
    <row r="258" spans="1:14" x14ac:dyDescent="0.25">
      <c r="A258" s="94" t="s">
        <v>151</v>
      </c>
      <c r="B258" s="102">
        <v>1128384.6399999999</v>
      </c>
      <c r="C258" s="102">
        <v>1209683.42</v>
      </c>
      <c r="D258" s="102">
        <v>1128206.99</v>
      </c>
      <c r="E258" s="102">
        <v>1256723.6000000001</v>
      </c>
      <c r="F258" s="102">
        <v>1166040.1599999999</v>
      </c>
      <c r="G258" s="102">
        <v>1139036.32</v>
      </c>
      <c r="H258" s="102">
        <v>1112275.17</v>
      </c>
      <c r="I258" s="102">
        <v>1107531.98</v>
      </c>
      <c r="J258" s="102">
        <v>1165847.3</v>
      </c>
      <c r="K258" s="102">
        <v>1182352.8799999999</v>
      </c>
      <c r="L258" s="102">
        <v>1210021.8600000001</v>
      </c>
      <c r="M258" s="102">
        <v>1135324.5900000001</v>
      </c>
      <c r="N258" s="102">
        <v>13941428.91</v>
      </c>
    </row>
    <row r="259" spans="1:14" x14ac:dyDescent="0.25">
      <c r="A259" s="87"/>
      <c r="B259" s="88"/>
      <c r="C259" s="88"/>
      <c r="D259" s="88"/>
      <c r="E259" s="88"/>
      <c r="F259" s="88"/>
      <c r="G259" s="88"/>
      <c r="H259" s="88"/>
      <c r="I259" s="88"/>
      <c r="J259" s="88"/>
      <c r="K259" s="88"/>
      <c r="L259" s="88"/>
      <c r="M259" s="88"/>
      <c r="N259" s="88"/>
    </row>
    <row r="260" spans="1:14" x14ac:dyDescent="0.25">
      <c r="A260" s="87" t="s">
        <v>308</v>
      </c>
      <c r="B260" s="90">
        <v>314547.48</v>
      </c>
      <c r="C260" s="90">
        <v>321733.89</v>
      </c>
      <c r="D260" s="90">
        <v>307882.49</v>
      </c>
      <c r="E260" s="90">
        <v>320328.81</v>
      </c>
      <c r="F260" s="90">
        <v>315068.67</v>
      </c>
      <c r="G260" s="90">
        <v>311995.84000000003</v>
      </c>
      <c r="H260" s="90">
        <v>314263.87</v>
      </c>
      <c r="I260" s="90">
        <v>318162.69</v>
      </c>
      <c r="J260" s="90">
        <v>302159.92</v>
      </c>
      <c r="K260" s="90">
        <v>329867.65999999997</v>
      </c>
      <c r="L260" s="90">
        <v>327827.46999999997</v>
      </c>
      <c r="M260" s="90">
        <v>321885.32</v>
      </c>
      <c r="N260" s="90">
        <v>3805724.11</v>
      </c>
    </row>
    <row r="261" spans="1:14" x14ac:dyDescent="0.25">
      <c r="A261" s="87" t="s">
        <v>309</v>
      </c>
      <c r="B261" s="90">
        <v>23029.91</v>
      </c>
      <c r="C261" s="90">
        <v>18348.439999999999</v>
      </c>
      <c r="D261" s="90">
        <v>22799.97</v>
      </c>
      <c r="E261" s="90">
        <v>21108.29</v>
      </c>
      <c r="F261" s="90">
        <v>17657.38</v>
      </c>
      <c r="G261" s="90">
        <v>13895.99</v>
      </c>
      <c r="H261" s="90">
        <v>12583.33</v>
      </c>
      <c r="I261" s="90">
        <v>10085.82</v>
      </c>
      <c r="J261" s="90">
        <v>10076.129999999999</v>
      </c>
      <c r="K261" s="90">
        <v>9654.58</v>
      </c>
      <c r="L261" s="90">
        <v>8283.06</v>
      </c>
      <c r="M261" s="90">
        <v>9386.81</v>
      </c>
      <c r="N261" s="90">
        <v>176909.71</v>
      </c>
    </row>
    <row r="262" spans="1:14" x14ac:dyDescent="0.25">
      <c r="A262" s="87" t="s">
        <v>310</v>
      </c>
      <c r="B262" s="90">
        <v>141928.38</v>
      </c>
      <c r="C262" s="90">
        <v>133668.26999999999</v>
      </c>
      <c r="D262" s="90">
        <v>132186.1</v>
      </c>
      <c r="E262" s="90">
        <v>149503.22</v>
      </c>
      <c r="F262" s="90">
        <v>129860.36</v>
      </c>
      <c r="G262" s="90">
        <v>134273.88</v>
      </c>
      <c r="H262" s="90">
        <v>144816.87</v>
      </c>
      <c r="I262" s="90">
        <v>149648.03</v>
      </c>
      <c r="J262" s="90">
        <v>142498.69</v>
      </c>
      <c r="K262" s="90">
        <v>130640.8</v>
      </c>
      <c r="L262" s="90">
        <v>117799.31</v>
      </c>
      <c r="M262" s="90">
        <v>103801.12</v>
      </c>
      <c r="N262" s="90">
        <v>1610625.03</v>
      </c>
    </row>
    <row r="263" spans="1:14" x14ac:dyDescent="0.25">
      <c r="A263" s="87" t="s">
        <v>311</v>
      </c>
      <c r="B263" s="90">
        <v>360884.89</v>
      </c>
      <c r="C263" s="90">
        <v>337302.47</v>
      </c>
      <c r="D263" s="90">
        <v>321884.37</v>
      </c>
      <c r="E263" s="90">
        <v>368814.66</v>
      </c>
      <c r="F263" s="90">
        <v>337696.22</v>
      </c>
      <c r="G263" s="90">
        <v>355714.04</v>
      </c>
      <c r="H263" s="90">
        <v>336875.64</v>
      </c>
      <c r="I263" s="90">
        <v>366707.73</v>
      </c>
      <c r="J263" s="90">
        <v>344442.35</v>
      </c>
      <c r="K263" s="90">
        <v>334024.55</v>
      </c>
      <c r="L263" s="90">
        <v>345271.4</v>
      </c>
      <c r="M263" s="90">
        <v>297231.69</v>
      </c>
      <c r="N263" s="90">
        <v>4106850.01</v>
      </c>
    </row>
    <row r="264" spans="1:14" x14ac:dyDescent="0.25">
      <c r="A264" s="87" t="s">
        <v>312</v>
      </c>
      <c r="B264" s="90">
        <v>145150.87</v>
      </c>
      <c r="C264" s="90">
        <v>128555.22</v>
      </c>
      <c r="D264" s="90">
        <v>128345.67</v>
      </c>
      <c r="E264" s="90">
        <v>146197.96</v>
      </c>
      <c r="F264" s="90">
        <v>148274.98000000001</v>
      </c>
      <c r="G264" s="90">
        <v>146729.04999999999</v>
      </c>
      <c r="H264" s="90">
        <v>144310.35999999999</v>
      </c>
      <c r="I264" s="90">
        <v>148067.57999999999</v>
      </c>
      <c r="J264" s="90">
        <v>146500.79</v>
      </c>
      <c r="K264" s="90">
        <v>149226.31</v>
      </c>
      <c r="L264" s="90">
        <v>150125.99</v>
      </c>
      <c r="M264" s="90">
        <v>146810.66</v>
      </c>
      <c r="N264" s="90">
        <v>1728295.44</v>
      </c>
    </row>
    <row r="265" spans="1:14" x14ac:dyDescent="0.25">
      <c r="A265" s="87" t="s">
        <v>313</v>
      </c>
      <c r="B265" s="90">
        <v>15652.98</v>
      </c>
      <c r="C265" s="90">
        <v>15901.33</v>
      </c>
      <c r="D265" s="90">
        <v>19363.14</v>
      </c>
      <c r="E265" s="90">
        <v>15323.63</v>
      </c>
      <c r="F265" s="90">
        <v>18840.97</v>
      </c>
      <c r="G265" s="90">
        <v>21061.66</v>
      </c>
      <c r="H265" s="90">
        <v>18939.13</v>
      </c>
      <c r="I265" s="90">
        <v>17433.849999999999</v>
      </c>
      <c r="J265" s="90">
        <v>20453.060000000001</v>
      </c>
      <c r="K265" s="90">
        <v>13440.4</v>
      </c>
      <c r="L265" s="90">
        <v>14739.51</v>
      </c>
      <c r="M265" s="90">
        <v>11840.96</v>
      </c>
      <c r="N265" s="90">
        <v>202990.62</v>
      </c>
    </row>
    <row r="266" spans="1:14" x14ac:dyDescent="0.25">
      <c r="A266" s="87" t="s">
        <v>314</v>
      </c>
      <c r="B266" s="90">
        <v>73581.42</v>
      </c>
      <c r="C266" s="90">
        <v>33063</v>
      </c>
      <c r="D266" s="90">
        <v>106395.48</v>
      </c>
      <c r="E266" s="90">
        <v>33729.410000000003</v>
      </c>
      <c r="F266" s="90">
        <v>13332.32</v>
      </c>
      <c r="G266" s="90">
        <v>11749.26</v>
      </c>
      <c r="H266" s="90">
        <v>111597.5</v>
      </c>
      <c r="I266" s="90">
        <v>37097.56</v>
      </c>
      <c r="J266" s="90">
        <v>19917.82</v>
      </c>
      <c r="K266" s="90">
        <v>12559.88</v>
      </c>
      <c r="L266" s="90">
        <v>17070.3</v>
      </c>
      <c r="M266" s="90">
        <v>16467.259999999998</v>
      </c>
      <c r="N266" s="90">
        <v>486561.21</v>
      </c>
    </row>
    <row r="267" spans="1:14" x14ac:dyDescent="0.25">
      <c r="A267" s="87" t="s">
        <v>315</v>
      </c>
      <c r="B267" s="90">
        <v>63753.17</v>
      </c>
      <c r="C267" s="90">
        <v>105285.08</v>
      </c>
      <c r="D267" s="90">
        <v>136379.16</v>
      </c>
      <c r="E267" s="90">
        <v>63988.73</v>
      </c>
      <c r="F267" s="90">
        <v>44385.8</v>
      </c>
      <c r="G267" s="90">
        <v>59116.7</v>
      </c>
      <c r="H267" s="90">
        <v>54553.39</v>
      </c>
      <c r="I267" s="90">
        <v>77071.17</v>
      </c>
      <c r="J267" s="90">
        <v>62078.13</v>
      </c>
      <c r="K267" s="90">
        <v>77102.23</v>
      </c>
      <c r="L267" s="90">
        <v>55361.61</v>
      </c>
      <c r="M267" s="90">
        <v>64086.65</v>
      </c>
      <c r="N267" s="90">
        <v>863161.82</v>
      </c>
    </row>
    <row r="268" spans="1:14" x14ac:dyDescent="0.25">
      <c r="A268" s="87" t="s">
        <v>316</v>
      </c>
      <c r="B268" s="90">
        <v>-5627.12</v>
      </c>
      <c r="C268" s="90">
        <v>-5691.85</v>
      </c>
      <c r="D268" s="90">
        <v>1787.79</v>
      </c>
      <c r="E268" s="90">
        <v>-3226.3</v>
      </c>
      <c r="F268" s="90">
        <v>6328.09</v>
      </c>
      <c r="G268" s="90">
        <v>1695.1</v>
      </c>
      <c r="H268" s="90">
        <v>956.31</v>
      </c>
      <c r="I268" s="90">
        <v>5110.62</v>
      </c>
      <c r="J268" s="90">
        <v>-15854.89</v>
      </c>
      <c r="K268" s="90">
        <v>-4562.1899999999996</v>
      </c>
      <c r="L268" s="90">
        <v>-7372.99</v>
      </c>
      <c r="M268" s="90">
        <v>8824.6200000000008</v>
      </c>
      <c r="N268" s="90">
        <v>-17632.810000000001</v>
      </c>
    </row>
    <row r="269" spans="1:14" x14ac:dyDescent="0.25">
      <c r="A269" s="87" t="s">
        <v>317</v>
      </c>
      <c r="B269" s="90">
        <v>12425.54</v>
      </c>
      <c r="C269" s="90">
        <v>-10894.86</v>
      </c>
      <c r="D269" s="90">
        <v>28366.15</v>
      </c>
      <c r="E269" s="90">
        <v>24788.32</v>
      </c>
      <c r="F269" s="90">
        <v>27830.29</v>
      </c>
      <c r="G269" s="90">
        <v>-37455.839999999997</v>
      </c>
      <c r="H269" s="90">
        <v>-25577.59</v>
      </c>
      <c r="I269" s="90">
        <v>-1588.78</v>
      </c>
      <c r="J269" s="90">
        <v>-1808.38</v>
      </c>
      <c r="K269" s="90">
        <v>214.61</v>
      </c>
      <c r="L269" s="90">
        <v>-2634.08</v>
      </c>
      <c r="M269" s="90">
        <v>47461.48</v>
      </c>
      <c r="N269" s="90">
        <v>61126.86</v>
      </c>
    </row>
    <row r="270" spans="1:14" x14ac:dyDescent="0.25">
      <c r="A270" s="87" t="s">
        <v>318</v>
      </c>
      <c r="B270" s="90">
        <v>103298.62</v>
      </c>
      <c r="C270" s="90">
        <v>98113.07</v>
      </c>
      <c r="D270" s="90">
        <v>78236.47</v>
      </c>
      <c r="E270" s="90">
        <v>161423.67999999999</v>
      </c>
      <c r="F270" s="90">
        <v>109640.46</v>
      </c>
      <c r="G270" s="90">
        <v>110594.63</v>
      </c>
      <c r="H270" s="90">
        <v>110876.14</v>
      </c>
      <c r="I270" s="90">
        <v>100161.85</v>
      </c>
      <c r="J270" s="90">
        <v>94968.27</v>
      </c>
      <c r="K270" s="90">
        <v>96029.45</v>
      </c>
      <c r="L270" s="90">
        <v>92715.9</v>
      </c>
      <c r="M270" s="90">
        <v>85895.27</v>
      </c>
      <c r="N270" s="90">
        <v>1241953.81</v>
      </c>
    </row>
    <row r="271" spans="1:14" x14ac:dyDescent="0.25">
      <c r="A271" s="87" t="s">
        <v>319</v>
      </c>
      <c r="B271" s="90">
        <v>0</v>
      </c>
      <c r="C271" s="90">
        <v>0</v>
      </c>
      <c r="D271" s="90">
        <v>0</v>
      </c>
      <c r="E271" s="90">
        <v>8145</v>
      </c>
      <c r="F271" s="90">
        <v>4470</v>
      </c>
      <c r="G271" s="90">
        <v>0</v>
      </c>
      <c r="H271" s="90">
        <v>0</v>
      </c>
      <c r="I271" s="90">
        <v>0</v>
      </c>
      <c r="J271" s="90">
        <v>0</v>
      </c>
      <c r="K271" s="90">
        <v>0</v>
      </c>
      <c r="L271" s="90">
        <v>0</v>
      </c>
      <c r="M271" s="90">
        <v>0</v>
      </c>
      <c r="N271" s="90">
        <v>12615</v>
      </c>
    </row>
    <row r="272" spans="1:14" x14ac:dyDescent="0.25">
      <c r="A272" s="87" t="s">
        <v>320</v>
      </c>
      <c r="B272" s="90">
        <v>131993.60999999999</v>
      </c>
      <c r="C272" s="90">
        <v>131993.60999999999</v>
      </c>
      <c r="D272" s="90">
        <v>131993.60999999999</v>
      </c>
      <c r="E272" s="90">
        <v>131993.60999999999</v>
      </c>
      <c r="F272" s="90">
        <v>192106.11</v>
      </c>
      <c r="G272" s="90">
        <v>192106.11</v>
      </c>
      <c r="H272" s="90">
        <v>252218.61</v>
      </c>
      <c r="I272" s="90">
        <v>196590.49</v>
      </c>
      <c r="J272" s="90">
        <v>23717.37</v>
      </c>
      <c r="K272" s="90">
        <v>110153.93</v>
      </c>
      <c r="L272" s="90">
        <v>96439.3</v>
      </c>
      <c r="M272" s="90">
        <v>96439.3</v>
      </c>
      <c r="N272" s="90">
        <v>1687745.66</v>
      </c>
    </row>
    <row r="273" spans="1:14" x14ac:dyDescent="0.25">
      <c r="A273" s="87" t="s">
        <v>321</v>
      </c>
      <c r="B273" s="90">
        <v>132134.98000000001</v>
      </c>
      <c r="C273" s="90">
        <v>110870.82</v>
      </c>
      <c r="D273" s="90">
        <v>-250938.69</v>
      </c>
      <c r="E273" s="90">
        <v>63086.6</v>
      </c>
      <c r="F273" s="90">
        <v>98406.53</v>
      </c>
      <c r="G273" s="90">
        <v>78084.679999999993</v>
      </c>
      <c r="H273" s="90">
        <v>122665.39</v>
      </c>
      <c r="I273" s="90">
        <v>143316.59</v>
      </c>
      <c r="J273" s="90">
        <v>142820.67000000001</v>
      </c>
      <c r="K273" s="90">
        <v>156575.51999999999</v>
      </c>
      <c r="L273" s="90">
        <v>174315.25</v>
      </c>
      <c r="M273" s="90">
        <v>178858.81</v>
      </c>
      <c r="N273" s="90">
        <v>1150197.1499999999</v>
      </c>
    </row>
    <row r="274" spans="1:14" x14ac:dyDescent="0.25">
      <c r="A274" s="87" t="s">
        <v>152</v>
      </c>
      <c r="B274" s="90">
        <v>0</v>
      </c>
      <c r="C274" s="90">
        <v>0</v>
      </c>
      <c r="D274" s="90">
        <v>320</v>
      </c>
      <c r="E274" s="90">
        <v>26.56</v>
      </c>
      <c r="F274" s="90">
        <v>0</v>
      </c>
      <c r="G274" s="90">
        <v>956.04</v>
      </c>
      <c r="H274" s="90">
        <v>3893.38</v>
      </c>
      <c r="I274" s="90">
        <v>1250.0999999999999</v>
      </c>
      <c r="J274" s="90">
        <v>-352</v>
      </c>
      <c r="K274" s="90">
        <v>400</v>
      </c>
      <c r="L274" s="90">
        <v>922.91</v>
      </c>
      <c r="M274" s="90">
        <v>0</v>
      </c>
      <c r="N274" s="90">
        <v>7416.99</v>
      </c>
    </row>
    <row r="275" spans="1:14" x14ac:dyDescent="0.25">
      <c r="A275" s="87" t="s">
        <v>153</v>
      </c>
      <c r="B275" s="90">
        <v>1461.8</v>
      </c>
      <c r="C275" s="90">
        <v>858.83</v>
      </c>
      <c r="D275" s="90">
        <v>2252.84</v>
      </c>
      <c r="E275" s="90">
        <v>1285.33</v>
      </c>
      <c r="F275" s="90">
        <v>153.66999999999999</v>
      </c>
      <c r="G275" s="90">
        <v>509.97</v>
      </c>
      <c r="H275" s="90">
        <v>332.68</v>
      </c>
      <c r="I275" s="90">
        <v>171.94</v>
      </c>
      <c r="J275" s="90">
        <v>371.35</v>
      </c>
      <c r="K275" s="90">
        <v>978.8</v>
      </c>
      <c r="L275" s="90">
        <v>2746.52</v>
      </c>
      <c r="M275" s="90">
        <v>2695.64</v>
      </c>
      <c r="N275" s="90">
        <v>13819.37</v>
      </c>
    </row>
    <row r="276" spans="1:14" x14ac:dyDescent="0.25">
      <c r="A276" s="87" t="s">
        <v>322</v>
      </c>
      <c r="B276" s="90">
        <v>61.35</v>
      </c>
      <c r="C276" s="90">
        <v>-1215.99</v>
      </c>
      <c r="D276" s="90">
        <v>-839.19</v>
      </c>
      <c r="E276" s="90">
        <v>565.73</v>
      </c>
      <c r="F276" s="90">
        <v>3663.08</v>
      </c>
      <c r="G276" s="90">
        <v>1173.98</v>
      </c>
      <c r="H276" s="90">
        <v>1537.11</v>
      </c>
      <c r="I276" s="90">
        <v>2835.63</v>
      </c>
      <c r="J276" s="90">
        <v>2296.9899999999998</v>
      </c>
      <c r="K276" s="90">
        <v>428.69</v>
      </c>
      <c r="L276" s="90">
        <v>929.95</v>
      </c>
      <c r="M276" s="90">
        <v>614.82000000000005</v>
      </c>
      <c r="N276" s="90">
        <v>12052.15</v>
      </c>
    </row>
    <row r="277" spans="1:14" x14ac:dyDescent="0.25">
      <c r="A277" s="87" t="s">
        <v>323</v>
      </c>
      <c r="B277" s="90">
        <v>38377.089999999997</v>
      </c>
      <c r="C277" s="90">
        <v>35607.74</v>
      </c>
      <c r="D277" s="90">
        <v>37183.199999999997</v>
      </c>
      <c r="E277" s="90">
        <v>25435.18</v>
      </c>
      <c r="F277" s="90">
        <v>31990.19</v>
      </c>
      <c r="G277" s="90">
        <v>29398.35</v>
      </c>
      <c r="H277" s="90">
        <v>19024.439999999999</v>
      </c>
      <c r="I277" s="90">
        <v>19609.580000000002</v>
      </c>
      <c r="J277" s="90">
        <v>33183.08</v>
      </c>
      <c r="K277" s="90">
        <v>43817.62</v>
      </c>
      <c r="L277" s="90">
        <v>22473.99</v>
      </c>
      <c r="M277" s="90">
        <v>10356.94</v>
      </c>
      <c r="N277" s="90">
        <v>346457.4</v>
      </c>
    </row>
    <row r="278" spans="1:14" x14ac:dyDescent="0.25">
      <c r="A278" s="87" t="s">
        <v>324</v>
      </c>
      <c r="B278" s="90">
        <v>0</v>
      </c>
      <c r="C278" s="90">
        <v>0</v>
      </c>
      <c r="D278" s="90">
        <v>-5340</v>
      </c>
      <c r="E278" s="90">
        <v>0</v>
      </c>
      <c r="F278" s="90">
        <v>0</v>
      </c>
      <c r="G278" s="90">
        <v>0</v>
      </c>
      <c r="H278" s="90">
        <v>0</v>
      </c>
      <c r="I278" s="90">
        <v>0</v>
      </c>
      <c r="J278" s="90">
        <v>0</v>
      </c>
      <c r="K278" s="90">
        <v>0</v>
      </c>
      <c r="L278" s="90">
        <v>0</v>
      </c>
      <c r="M278" s="90">
        <v>0</v>
      </c>
      <c r="N278" s="90">
        <v>-5340</v>
      </c>
    </row>
    <row r="279" spans="1:14" x14ac:dyDescent="0.25">
      <c r="A279" s="87" t="s">
        <v>325</v>
      </c>
      <c r="B279" s="90">
        <v>19071.91</v>
      </c>
      <c r="C279" s="90">
        <v>6658.15</v>
      </c>
      <c r="D279" s="90">
        <v>5918.76</v>
      </c>
      <c r="E279" s="90">
        <v>11981.96</v>
      </c>
      <c r="F279" s="90">
        <v>3959.38</v>
      </c>
      <c r="G279" s="90">
        <v>7599.58</v>
      </c>
      <c r="H279" s="90">
        <v>5162.55</v>
      </c>
      <c r="I279" s="90">
        <v>2308.58</v>
      </c>
      <c r="J279" s="90">
        <v>-1303.8499999999999</v>
      </c>
      <c r="K279" s="90">
        <v>8260.2099999999991</v>
      </c>
      <c r="L279" s="90">
        <v>3989.48</v>
      </c>
      <c r="M279" s="90">
        <v>4755.4799999999996</v>
      </c>
      <c r="N279" s="90">
        <v>78362.19</v>
      </c>
    </row>
    <row r="280" spans="1:14" ht="23.25" x14ac:dyDescent="0.25">
      <c r="A280" s="87" t="s">
        <v>326</v>
      </c>
      <c r="B280" s="90">
        <v>1465.42</v>
      </c>
      <c r="C280" s="90">
        <v>936.22</v>
      </c>
      <c r="D280" s="90">
        <v>0</v>
      </c>
      <c r="E280" s="90">
        <v>0</v>
      </c>
      <c r="F280" s="90">
        <v>301.92</v>
      </c>
      <c r="G280" s="90">
        <v>139.91</v>
      </c>
      <c r="H280" s="90">
        <v>825.88</v>
      </c>
      <c r="I280" s="90">
        <v>125.3</v>
      </c>
      <c r="J280" s="90">
        <v>63.11</v>
      </c>
      <c r="K280" s="90">
        <v>191.46</v>
      </c>
      <c r="L280" s="90">
        <v>699.96</v>
      </c>
      <c r="M280" s="90">
        <v>3725.73</v>
      </c>
      <c r="N280" s="90">
        <v>8474.91</v>
      </c>
    </row>
    <row r="281" spans="1:14" x14ac:dyDescent="0.25">
      <c r="A281" s="87" t="s">
        <v>327</v>
      </c>
      <c r="B281" s="90">
        <v>6720.47</v>
      </c>
      <c r="C281" s="90">
        <v>3548.17</v>
      </c>
      <c r="D281" s="90">
        <v>7087.62</v>
      </c>
      <c r="E281" s="90">
        <v>6678.03</v>
      </c>
      <c r="F281" s="90">
        <v>4301.96</v>
      </c>
      <c r="G281" s="90">
        <v>4868.49</v>
      </c>
      <c r="H281" s="90">
        <v>4218.99</v>
      </c>
      <c r="I281" s="90">
        <v>5526.38</v>
      </c>
      <c r="J281" s="90">
        <v>3271.79</v>
      </c>
      <c r="K281" s="90">
        <v>4328.95</v>
      </c>
      <c r="L281" s="90">
        <v>7291.27</v>
      </c>
      <c r="M281" s="90">
        <v>7060.91</v>
      </c>
      <c r="N281" s="90">
        <v>64903.03</v>
      </c>
    </row>
    <row r="282" spans="1:14" x14ac:dyDescent="0.25">
      <c r="A282" s="87" t="s">
        <v>328</v>
      </c>
      <c r="B282" s="90">
        <v>21333.5</v>
      </c>
      <c r="C282" s="90">
        <v>16494.310000000001</v>
      </c>
      <c r="D282" s="90">
        <v>26290.55</v>
      </c>
      <c r="E282" s="90">
        <v>21657.39</v>
      </c>
      <c r="F282" s="90">
        <v>21632.39</v>
      </c>
      <c r="G282" s="90">
        <v>21327.63</v>
      </c>
      <c r="H282" s="90">
        <v>21542.47</v>
      </c>
      <c r="I282" s="90">
        <v>21392.47</v>
      </c>
      <c r="J282" s="90">
        <v>21391.99</v>
      </c>
      <c r="K282" s="90">
        <v>21392.39</v>
      </c>
      <c r="L282" s="90">
        <v>21392.39</v>
      </c>
      <c r="M282" s="90">
        <v>21392.39</v>
      </c>
      <c r="N282" s="90">
        <v>257239.87</v>
      </c>
    </row>
    <row r="283" spans="1:14" x14ac:dyDescent="0.25">
      <c r="A283" s="87" t="s">
        <v>329</v>
      </c>
      <c r="B283" s="90">
        <v>17752.560000000001</v>
      </c>
      <c r="C283" s="90">
        <v>15260.56</v>
      </c>
      <c r="D283" s="90">
        <v>11292.56</v>
      </c>
      <c r="E283" s="90">
        <v>14860.63</v>
      </c>
      <c r="F283" s="90">
        <v>1043.67</v>
      </c>
      <c r="G283" s="90">
        <v>28645.85</v>
      </c>
      <c r="H283" s="90">
        <v>27579.25</v>
      </c>
      <c r="I283" s="90">
        <v>27697.71</v>
      </c>
      <c r="J283" s="90">
        <v>39563.519999999997</v>
      </c>
      <c r="K283" s="90">
        <v>-34038.68</v>
      </c>
      <c r="L283" s="90">
        <v>12363.73</v>
      </c>
      <c r="M283" s="90">
        <v>8131.74</v>
      </c>
      <c r="N283" s="90">
        <v>170153.1</v>
      </c>
    </row>
    <row r="284" spans="1:14" x14ac:dyDescent="0.25">
      <c r="A284" s="87" t="s">
        <v>330</v>
      </c>
      <c r="B284" s="90">
        <v>26997.87</v>
      </c>
      <c r="C284" s="90">
        <v>25242.53</v>
      </c>
      <c r="D284" s="90">
        <v>25941.17</v>
      </c>
      <c r="E284" s="90">
        <v>25461.88</v>
      </c>
      <c r="F284" s="90">
        <v>21645.56</v>
      </c>
      <c r="G284" s="90">
        <v>22369.03</v>
      </c>
      <c r="H284" s="90">
        <v>21339.16</v>
      </c>
      <c r="I284" s="90">
        <v>21252.39</v>
      </c>
      <c r="J284" s="90">
        <v>21447.72</v>
      </c>
      <c r="K284" s="90">
        <v>20854.59</v>
      </c>
      <c r="L284" s="90">
        <v>20854.560000000001</v>
      </c>
      <c r="M284" s="90">
        <v>19842.77</v>
      </c>
      <c r="N284" s="90">
        <v>273249.23</v>
      </c>
    </row>
    <row r="285" spans="1:14" x14ac:dyDescent="0.25">
      <c r="A285" s="87" t="s">
        <v>331</v>
      </c>
      <c r="B285" s="90">
        <v>27067.06</v>
      </c>
      <c r="C285" s="90">
        <v>27067.06</v>
      </c>
      <c r="D285" s="90">
        <v>27067.06</v>
      </c>
      <c r="E285" s="90">
        <v>27067.06</v>
      </c>
      <c r="F285" s="90">
        <v>27067.06</v>
      </c>
      <c r="G285" s="90">
        <v>27067.06</v>
      </c>
      <c r="H285" s="90">
        <v>27067.06</v>
      </c>
      <c r="I285" s="90">
        <v>27067.06</v>
      </c>
      <c r="J285" s="90">
        <v>27067.06</v>
      </c>
      <c r="K285" s="90">
        <v>27067.06</v>
      </c>
      <c r="L285" s="90">
        <v>27067.06</v>
      </c>
      <c r="M285" s="90">
        <v>27067.06</v>
      </c>
      <c r="N285" s="90">
        <v>324804.71999999997</v>
      </c>
    </row>
    <row r="286" spans="1:14" x14ac:dyDescent="0.25">
      <c r="A286" s="87" t="s">
        <v>332</v>
      </c>
      <c r="B286" s="90">
        <v>7644.16</v>
      </c>
      <c r="C286" s="90">
        <v>7330.3</v>
      </c>
      <c r="D286" s="90">
        <v>1955.25</v>
      </c>
      <c r="E286" s="90">
        <v>0</v>
      </c>
      <c r="F286" s="90">
        <v>1133</v>
      </c>
      <c r="G286" s="90">
        <v>2900</v>
      </c>
      <c r="H286" s="90">
        <v>741.25</v>
      </c>
      <c r="I286" s="90">
        <v>30</v>
      </c>
      <c r="J286" s="90">
        <v>0</v>
      </c>
      <c r="K286" s="90">
        <v>107.24</v>
      </c>
      <c r="L286" s="90">
        <v>-6328.2</v>
      </c>
      <c r="M286" s="90">
        <v>80</v>
      </c>
      <c r="N286" s="90">
        <v>15593</v>
      </c>
    </row>
    <row r="287" spans="1:14" x14ac:dyDescent="0.25">
      <c r="A287" s="87" t="s">
        <v>333</v>
      </c>
      <c r="B287" s="90">
        <v>110607.6</v>
      </c>
      <c r="C287" s="90">
        <v>0</v>
      </c>
      <c r="D287" s="90">
        <v>2230</v>
      </c>
      <c r="E287" s="90">
        <v>8219.82</v>
      </c>
      <c r="F287" s="90">
        <v>9528.25</v>
      </c>
      <c r="G287" s="90">
        <v>33272.5</v>
      </c>
      <c r="H287" s="90">
        <v>-0.03</v>
      </c>
      <c r="I287" s="90">
        <v>17716.650000000001</v>
      </c>
      <c r="J287" s="90">
        <v>347869.85</v>
      </c>
      <c r="K287" s="90">
        <v>34633.25</v>
      </c>
      <c r="L287" s="90">
        <v>300</v>
      </c>
      <c r="M287" s="90">
        <v>232412.75</v>
      </c>
      <c r="N287" s="90">
        <v>796790.64</v>
      </c>
    </row>
    <row r="288" spans="1:14" x14ac:dyDescent="0.25">
      <c r="A288" s="87" t="s">
        <v>334</v>
      </c>
      <c r="B288" s="90">
        <v>0</v>
      </c>
      <c r="C288" s="90">
        <v>0</v>
      </c>
      <c r="D288" s="90">
        <v>0</v>
      </c>
      <c r="E288" s="90">
        <v>412</v>
      </c>
      <c r="F288" s="90">
        <v>0</v>
      </c>
      <c r="G288" s="90">
        <v>988.28</v>
      </c>
      <c r="H288" s="90">
        <v>0</v>
      </c>
      <c r="I288" s="90">
        <v>250</v>
      </c>
      <c r="J288" s="90">
        <v>0</v>
      </c>
      <c r="K288" s="90">
        <v>0</v>
      </c>
      <c r="L288" s="90">
        <v>0</v>
      </c>
      <c r="M288" s="90">
        <v>0</v>
      </c>
      <c r="N288" s="90">
        <v>1650.28</v>
      </c>
    </row>
    <row r="289" spans="1:14" x14ac:dyDescent="0.25">
      <c r="A289" s="87" t="s">
        <v>335</v>
      </c>
      <c r="B289" s="90">
        <v>1980.7</v>
      </c>
      <c r="C289" s="90">
        <v>36558.19</v>
      </c>
      <c r="D289" s="90">
        <v>36558.21</v>
      </c>
      <c r="E289" s="90">
        <v>1980.7</v>
      </c>
      <c r="F289" s="90">
        <v>1980.7</v>
      </c>
      <c r="G289" s="90">
        <v>1980.7</v>
      </c>
      <c r="H289" s="90">
        <v>2117.3000000000002</v>
      </c>
      <c r="I289" s="90">
        <v>1844.1</v>
      </c>
      <c r="J289" s="90">
        <v>1980.78</v>
      </c>
      <c r="K289" s="90">
        <v>1980.78</v>
      </c>
      <c r="L289" s="90">
        <v>1980.78</v>
      </c>
      <c r="M289" s="90">
        <v>1980.78</v>
      </c>
      <c r="N289" s="90">
        <v>92923.72</v>
      </c>
    </row>
    <row r="290" spans="1:14" x14ac:dyDescent="0.25">
      <c r="A290" s="87" t="s">
        <v>336</v>
      </c>
      <c r="B290" s="90">
        <v>350</v>
      </c>
      <c r="C290" s="90">
        <v>1600</v>
      </c>
      <c r="D290" s="90">
        <v>0</v>
      </c>
      <c r="E290" s="90">
        <v>1225</v>
      </c>
      <c r="F290" s="90">
        <v>300</v>
      </c>
      <c r="G290" s="90">
        <v>0</v>
      </c>
      <c r="H290" s="90">
        <v>0</v>
      </c>
      <c r="I290" s="90">
        <v>455</v>
      </c>
      <c r="J290" s="90">
        <v>1610</v>
      </c>
      <c r="K290" s="90">
        <v>625</v>
      </c>
      <c r="L290" s="90">
        <v>300</v>
      </c>
      <c r="M290" s="90">
        <v>850</v>
      </c>
      <c r="N290" s="90">
        <v>7315</v>
      </c>
    </row>
    <row r="291" spans="1:14" x14ac:dyDescent="0.25">
      <c r="A291" s="87" t="s">
        <v>154</v>
      </c>
      <c r="B291" s="90">
        <v>94092.64</v>
      </c>
      <c r="C291" s="90">
        <v>88109.15</v>
      </c>
      <c r="D291" s="90">
        <v>89500.7</v>
      </c>
      <c r="E291" s="90">
        <v>58361.31</v>
      </c>
      <c r="F291" s="90">
        <v>90087.15</v>
      </c>
      <c r="G291" s="90">
        <v>93250.65</v>
      </c>
      <c r="H291" s="90">
        <v>93754.43</v>
      </c>
      <c r="I291" s="90">
        <v>99375.11</v>
      </c>
      <c r="J291" s="90">
        <v>131764.68</v>
      </c>
      <c r="K291" s="90">
        <v>156834.64000000001</v>
      </c>
      <c r="L291" s="90">
        <v>130856.55</v>
      </c>
      <c r="M291" s="90">
        <v>127764.48</v>
      </c>
      <c r="N291" s="90">
        <v>1253751.49</v>
      </c>
    </row>
    <row r="292" spans="1:14" x14ac:dyDescent="0.25">
      <c r="A292" s="87" t="s">
        <v>155</v>
      </c>
      <c r="B292" s="90">
        <v>3700.38</v>
      </c>
      <c r="C292" s="90">
        <v>3293.33</v>
      </c>
      <c r="D292" s="90">
        <v>2134.71</v>
      </c>
      <c r="E292" s="90">
        <v>6085.44</v>
      </c>
      <c r="F292" s="90">
        <v>6640.88</v>
      </c>
      <c r="G292" s="90">
        <v>11536.7</v>
      </c>
      <c r="H292" s="90">
        <v>4786.8599999999997</v>
      </c>
      <c r="I292" s="90">
        <v>7016.26</v>
      </c>
      <c r="J292" s="90">
        <v>3511.58</v>
      </c>
      <c r="K292" s="90">
        <v>5843.24</v>
      </c>
      <c r="L292" s="90">
        <v>3770.67</v>
      </c>
      <c r="M292" s="90">
        <v>5261.49</v>
      </c>
      <c r="N292" s="90">
        <v>63581.54</v>
      </c>
    </row>
    <row r="293" spans="1:14" x14ac:dyDescent="0.25">
      <c r="A293" s="87" t="s">
        <v>156</v>
      </c>
      <c r="B293" s="90">
        <v>22166.080000000002</v>
      </c>
      <c r="C293" s="90">
        <v>15931.75</v>
      </c>
      <c r="D293" s="90">
        <v>18177.04</v>
      </c>
      <c r="E293" s="90">
        <v>34009.65</v>
      </c>
      <c r="F293" s="90">
        <v>17490.61</v>
      </c>
      <c r="G293" s="90">
        <v>16794.02</v>
      </c>
      <c r="H293" s="90">
        <v>12244.4</v>
      </c>
      <c r="I293" s="90">
        <v>12901.29</v>
      </c>
      <c r="J293" s="90">
        <v>11797.86</v>
      </c>
      <c r="K293" s="90">
        <v>9911.3700000000008</v>
      </c>
      <c r="L293" s="90">
        <v>10281.74</v>
      </c>
      <c r="M293" s="90">
        <v>9330.86</v>
      </c>
      <c r="N293" s="90">
        <v>191036.67</v>
      </c>
    </row>
    <row r="294" spans="1:14" x14ac:dyDescent="0.25">
      <c r="A294" s="87" t="s">
        <v>157</v>
      </c>
      <c r="B294" s="90">
        <v>1772.13</v>
      </c>
      <c r="C294" s="90">
        <v>1367.91</v>
      </c>
      <c r="D294" s="90">
        <v>1373.14</v>
      </c>
      <c r="E294" s="90">
        <v>1325.12</v>
      </c>
      <c r="F294" s="90">
        <v>3246.35</v>
      </c>
      <c r="G294" s="90">
        <v>2337.9</v>
      </c>
      <c r="H294" s="90">
        <v>2818.05</v>
      </c>
      <c r="I294" s="90">
        <v>1767.04</v>
      </c>
      <c r="J294" s="90">
        <v>707.92</v>
      </c>
      <c r="K294" s="90">
        <v>1914.3</v>
      </c>
      <c r="L294" s="90">
        <v>1316.39</v>
      </c>
      <c r="M294" s="90">
        <v>1471.21</v>
      </c>
      <c r="N294" s="90">
        <v>21417.46</v>
      </c>
    </row>
    <row r="295" spans="1:14" x14ac:dyDescent="0.25">
      <c r="A295" s="87" t="s">
        <v>158</v>
      </c>
      <c r="B295" s="90">
        <v>4351.93</v>
      </c>
      <c r="C295" s="90">
        <v>7030.21</v>
      </c>
      <c r="D295" s="90">
        <v>9735.5300000000007</v>
      </c>
      <c r="E295" s="90">
        <v>6451.51</v>
      </c>
      <c r="F295" s="90">
        <v>8780.2800000000007</v>
      </c>
      <c r="G295" s="90">
        <v>3706.4</v>
      </c>
      <c r="H295" s="90">
        <v>4908.1899999999996</v>
      </c>
      <c r="I295" s="90">
        <v>7906.22</v>
      </c>
      <c r="J295" s="90">
        <v>11023.93</v>
      </c>
      <c r="K295" s="90">
        <v>4393.6000000000004</v>
      </c>
      <c r="L295" s="90">
        <v>14059.42</v>
      </c>
      <c r="M295" s="90">
        <v>7308.26</v>
      </c>
      <c r="N295" s="90">
        <v>89655.48</v>
      </c>
    </row>
    <row r="296" spans="1:14" x14ac:dyDescent="0.25">
      <c r="A296" s="87" t="s">
        <v>159</v>
      </c>
      <c r="B296" s="90">
        <v>354890.91</v>
      </c>
      <c r="C296" s="90">
        <v>341021.49</v>
      </c>
      <c r="D296" s="90">
        <v>352877.89</v>
      </c>
      <c r="E296" s="90">
        <v>351125.54</v>
      </c>
      <c r="F296" s="90">
        <v>325087.3</v>
      </c>
      <c r="G296" s="90">
        <v>350351.27</v>
      </c>
      <c r="H296" s="90">
        <v>340037.35</v>
      </c>
      <c r="I296" s="90">
        <v>352869</v>
      </c>
      <c r="J296" s="90">
        <v>329287.74</v>
      </c>
      <c r="K296" s="90">
        <v>352604.35</v>
      </c>
      <c r="L296" s="90">
        <v>340819.11</v>
      </c>
      <c r="M296" s="90">
        <v>332867.46999999997</v>
      </c>
      <c r="N296" s="90">
        <v>4123839.42</v>
      </c>
    </row>
    <row r="297" spans="1:14" x14ac:dyDescent="0.25">
      <c r="A297" s="87" t="s">
        <v>160</v>
      </c>
      <c r="B297" s="90">
        <v>12417.17</v>
      </c>
      <c r="C297" s="90">
        <v>13720.92</v>
      </c>
      <c r="D297" s="90">
        <v>13072.99</v>
      </c>
      <c r="E297" s="90">
        <v>17344.099999999999</v>
      </c>
      <c r="F297" s="90">
        <v>17327.04</v>
      </c>
      <c r="G297" s="90">
        <v>21250.41</v>
      </c>
      <c r="H297" s="90">
        <v>11265.41</v>
      </c>
      <c r="I297" s="90">
        <v>16042.88</v>
      </c>
      <c r="J297" s="90">
        <v>14628.93</v>
      </c>
      <c r="K297" s="90">
        <v>12414.32</v>
      </c>
      <c r="L297" s="90">
        <v>9351.5300000000007</v>
      </c>
      <c r="M297" s="90">
        <v>9607.7900000000009</v>
      </c>
      <c r="N297" s="90">
        <v>168443.49</v>
      </c>
    </row>
    <row r="298" spans="1:14" x14ac:dyDescent="0.25">
      <c r="A298" s="87" t="s">
        <v>161</v>
      </c>
      <c r="B298" s="90">
        <v>15540.92</v>
      </c>
      <c r="C298" s="90">
        <v>15540.92</v>
      </c>
      <c r="D298" s="90">
        <v>-20836.89</v>
      </c>
      <c r="E298" s="90">
        <v>9477.98</v>
      </c>
      <c r="F298" s="90">
        <v>-82.09</v>
      </c>
      <c r="G298" s="90">
        <v>-29821.97</v>
      </c>
      <c r="H298" s="90">
        <v>12919.2</v>
      </c>
      <c r="I298" s="90">
        <v>2676.62</v>
      </c>
      <c r="J298" s="90">
        <v>-645.27</v>
      </c>
      <c r="K298" s="90">
        <v>1569.31</v>
      </c>
      <c r="L298" s="90">
        <v>1569.33</v>
      </c>
      <c r="M298" s="90">
        <v>1452.51</v>
      </c>
      <c r="N298" s="90">
        <v>9360.57</v>
      </c>
    </row>
    <row r="299" spans="1:14" x14ac:dyDescent="0.25">
      <c r="A299" s="87" t="s">
        <v>162</v>
      </c>
      <c r="B299" s="90">
        <v>33451.589999999997</v>
      </c>
      <c r="C299" s="90">
        <v>38270.71</v>
      </c>
      <c r="D299" s="90">
        <v>41181.019999999997</v>
      </c>
      <c r="E299" s="90">
        <v>42462.22</v>
      </c>
      <c r="F299" s="90">
        <v>42974.48</v>
      </c>
      <c r="G299" s="90">
        <v>37019.879999999997</v>
      </c>
      <c r="H299" s="90">
        <v>40411.839999999997</v>
      </c>
      <c r="I299" s="90">
        <v>52265.599999999999</v>
      </c>
      <c r="J299" s="90">
        <v>39497.43</v>
      </c>
      <c r="K299" s="90">
        <v>35985.18</v>
      </c>
      <c r="L299" s="90">
        <v>46840.19</v>
      </c>
      <c r="M299" s="90">
        <v>66305</v>
      </c>
      <c r="N299" s="90">
        <v>516665.14</v>
      </c>
    </row>
    <row r="300" spans="1:14" x14ac:dyDescent="0.25">
      <c r="A300" s="87" t="s">
        <v>163</v>
      </c>
      <c r="B300" s="90">
        <v>264.33999999999997</v>
      </c>
      <c r="C300" s="90">
        <v>240.54</v>
      </c>
      <c r="D300" s="90">
        <v>182.54</v>
      </c>
      <c r="E300" s="90">
        <v>220.54</v>
      </c>
      <c r="F300" s="90">
        <v>144.54</v>
      </c>
      <c r="G300" s="90">
        <v>182.54</v>
      </c>
      <c r="H300" s="90">
        <v>182.54</v>
      </c>
      <c r="I300" s="90">
        <v>144.54</v>
      </c>
      <c r="J300" s="90">
        <v>182.54</v>
      </c>
      <c r="K300" s="90">
        <v>0</v>
      </c>
      <c r="L300" s="90">
        <v>182.54</v>
      </c>
      <c r="M300" s="90">
        <v>144.54</v>
      </c>
      <c r="N300" s="90">
        <v>2071.7399999999998</v>
      </c>
    </row>
    <row r="301" spans="1:14" x14ac:dyDescent="0.25">
      <c r="A301" s="87" t="s">
        <v>164</v>
      </c>
      <c r="B301" s="90">
        <v>1050</v>
      </c>
      <c r="C301" s="90">
        <v>3865.32</v>
      </c>
      <c r="D301" s="90">
        <v>1167.5</v>
      </c>
      <c r="E301" s="90">
        <v>0</v>
      </c>
      <c r="F301" s="90">
        <v>1154</v>
      </c>
      <c r="G301" s="90">
        <v>-772.34</v>
      </c>
      <c r="H301" s="90">
        <v>-0.01</v>
      </c>
      <c r="I301" s="90">
        <v>0.3</v>
      </c>
      <c r="J301" s="90">
        <v>-0.65</v>
      </c>
      <c r="K301" s="90">
        <v>5958.95</v>
      </c>
      <c r="L301" s="90">
        <v>1974.71</v>
      </c>
      <c r="M301" s="90">
        <v>-2.59</v>
      </c>
      <c r="N301" s="90">
        <v>14395.19</v>
      </c>
    </row>
    <row r="302" spans="1:14" x14ac:dyDescent="0.25">
      <c r="A302" s="87" t="s">
        <v>165</v>
      </c>
      <c r="B302" s="90">
        <v>8670.15</v>
      </c>
      <c r="C302" s="90">
        <v>8391.3799999999992</v>
      </c>
      <c r="D302" s="90">
        <v>12322.59</v>
      </c>
      <c r="E302" s="90">
        <v>7822.22</v>
      </c>
      <c r="F302" s="90">
        <v>5085.5200000000004</v>
      </c>
      <c r="G302" s="90">
        <v>3981.38</v>
      </c>
      <c r="H302" s="90">
        <v>-9089.67</v>
      </c>
      <c r="I302" s="90">
        <v>17946.509999999998</v>
      </c>
      <c r="J302" s="90">
        <v>5051.7</v>
      </c>
      <c r="K302" s="90">
        <v>5325.09</v>
      </c>
      <c r="L302" s="90">
        <v>14765.5</v>
      </c>
      <c r="M302" s="90">
        <v>8833.1299999999992</v>
      </c>
      <c r="N302" s="90">
        <v>89105.5</v>
      </c>
    </row>
    <row r="303" spans="1:14" x14ac:dyDescent="0.25">
      <c r="A303" s="87" t="s">
        <v>166</v>
      </c>
      <c r="B303" s="90">
        <v>98.84</v>
      </c>
      <c r="C303" s="90">
        <v>41.77</v>
      </c>
      <c r="D303" s="90">
        <v>0</v>
      </c>
      <c r="E303" s="90">
        <v>33.04</v>
      </c>
      <c r="F303" s="90">
        <v>0</v>
      </c>
      <c r="G303" s="90">
        <v>150</v>
      </c>
      <c r="H303" s="90">
        <v>46.89</v>
      </c>
      <c r="I303" s="90">
        <v>0</v>
      </c>
      <c r="J303" s="90">
        <v>1758.44</v>
      </c>
      <c r="K303" s="90">
        <v>0</v>
      </c>
      <c r="L303" s="90">
        <v>-1724.53</v>
      </c>
      <c r="M303" s="90">
        <v>50</v>
      </c>
      <c r="N303" s="90">
        <v>454.45</v>
      </c>
    </row>
    <row r="304" spans="1:14" x14ac:dyDescent="0.25">
      <c r="A304" s="87" t="s">
        <v>167</v>
      </c>
      <c r="B304" s="90">
        <v>25305.93</v>
      </c>
      <c r="C304" s="90">
        <v>10710.36</v>
      </c>
      <c r="D304" s="90">
        <v>49588.27</v>
      </c>
      <c r="E304" s="90">
        <v>23171.200000000001</v>
      </c>
      <c r="F304" s="90">
        <v>11601.43</v>
      </c>
      <c r="G304" s="90">
        <v>12539.75</v>
      </c>
      <c r="H304" s="90">
        <v>16892.52</v>
      </c>
      <c r="I304" s="90">
        <v>32161.41</v>
      </c>
      <c r="J304" s="90">
        <v>40380.410000000003</v>
      </c>
      <c r="K304" s="90">
        <v>42456</v>
      </c>
      <c r="L304" s="90">
        <v>14337.43</v>
      </c>
      <c r="M304" s="90">
        <v>15594.57</v>
      </c>
      <c r="N304" s="90">
        <v>294739.28000000003</v>
      </c>
    </row>
    <row r="305" spans="1:14" x14ac:dyDescent="0.25">
      <c r="A305" s="87" t="s">
        <v>168</v>
      </c>
      <c r="B305" s="90">
        <v>1916.82</v>
      </c>
      <c r="C305" s="90">
        <v>7779.38</v>
      </c>
      <c r="D305" s="90">
        <v>-197.96</v>
      </c>
      <c r="E305" s="90">
        <v>1192.3900000000001</v>
      </c>
      <c r="F305" s="90">
        <v>26</v>
      </c>
      <c r="G305" s="90">
        <v>694.33</v>
      </c>
      <c r="H305" s="90">
        <v>301.43</v>
      </c>
      <c r="I305" s="90">
        <v>310</v>
      </c>
      <c r="J305" s="90">
        <v>1544.73</v>
      </c>
      <c r="K305" s="90">
        <v>743.45</v>
      </c>
      <c r="L305" s="90">
        <v>59</v>
      </c>
      <c r="M305" s="90">
        <v>1515.37</v>
      </c>
      <c r="N305" s="90">
        <v>15884.94</v>
      </c>
    </row>
    <row r="306" spans="1:14" x14ac:dyDescent="0.25">
      <c r="A306" s="87" t="s">
        <v>337</v>
      </c>
      <c r="B306" s="90">
        <v>5064.8100000000004</v>
      </c>
      <c r="C306" s="90">
        <v>8021.42</v>
      </c>
      <c r="D306" s="90">
        <v>10548.87</v>
      </c>
      <c r="E306" s="90">
        <v>8464.4500000000007</v>
      </c>
      <c r="F306" s="90">
        <v>8430.24</v>
      </c>
      <c r="G306" s="90">
        <v>6203.97</v>
      </c>
      <c r="H306" s="90">
        <v>740.06</v>
      </c>
      <c r="I306" s="90">
        <v>11209.93</v>
      </c>
      <c r="J306" s="90">
        <v>4299</v>
      </c>
      <c r="K306" s="90">
        <v>4998.1000000000004</v>
      </c>
      <c r="L306" s="90">
        <v>4151.8900000000003</v>
      </c>
      <c r="M306" s="90">
        <v>4136.32</v>
      </c>
      <c r="N306" s="90">
        <v>76269.06</v>
      </c>
    </row>
    <row r="307" spans="1:14" x14ac:dyDescent="0.25">
      <c r="A307" s="87" t="s">
        <v>169</v>
      </c>
      <c r="B307" s="90">
        <v>0</v>
      </c>
      <c r="C307" s="90">
        <v>41025.33</v>
      </c>
      <c r="D307" s="90">
        <v>0</v>
      </c>
      <c r="E307" s="90">
        <v>0</v>
      </c>
      <c r="F307" s="90">
        <v>0</v>
      </c>
      <c r="G307" s="90">
        <v>0</v>
      </c>
      <c r="H307" s="90">
        <v>0</v>
      </c>
      <c r="I307" s="90">
        <v>0</v>
      </c>
      <c r="J307" s="90">
        <v>0</v>
      </c>
      <c r="K307" s="90">
        <v>0</v>
      </c>
      <c r="L307" s="90">
        <v>0</v>
      </c>
      <c r="M307" s="90">
        <v>0</v>
      </c>
      <c r="N307" s="90">
        <v>41025.33</v>
      </c>
    </row>
    <row r="308" spans="1:14" x14ac:dyDescent="0.25">
      <c r="A308" s="87" t="s">
        <v>170</v>
      </c>
      <c r="B308" s="96">
        <v>4314.59</v>
      </c>
      <c r="C308" s="96">
        <v>75</v>
      </c>
      <c r="D308" s="96">
        <v>4214.12</v>
      </c>
      <c r="E308" s="96">
        <v>4194.93</v>
      </c>
      <c r="F308" s="96">
        <v>0</v>
      </c>
      <c r="G308" s="96">
        <v>2155.62</v>
      </c>
      <c r="H308" s="96">
        <v>0</v>
      </c>
      <c r="I308" s="96">
        <v>4583.3900000000003</v>
      </c>
      <c r="J308" s="96">
        <v>598.37</v>
      </c>
      <c r="K308" s="96">
        <v>4274.74</v>
      </c>
      <c r="L308" s="96">
        <v>549.20000000000005</v>
      </c>
      <c r="M308" s="96">
        <v>4028.22</v>
      </c>
      <c r="N308" s="96">
        <v>28988.18</v>
      </c>
    </row>
    <row r="309" spans="1:14" x14ac:dyDescent="0.25">
      <c r="A309" s="94" t="s">
        <v>338</v>
      </c>
      <c r="B309" s="102">
        <v>2382715.4500000002</v>
      </c>
      <c r="C309" s="102">
        <v>2198631.4500000002</v>
      </c>
      <c r="D309" s="102">
        <v>1927641.8</v>
      </c>
      <c r="E309" s="102">
        <v>2223804.5299999998</v>
      </c>
      <c r="F309" s="102">
        <v>2130592.7400000002</v>
      </c>
      <c r="G309" s="102">
        <v>2114318.98</v>
      </c>
      <c r="H309" s="102">
        <v>2266679.9300000002</v>
      </c>
      <c r="I309" s="102">
        <v>2336574.19</v>
      </c>
      <c r="J309" s="102">
        <v>2385820.66</v>
      </c>
      <c r="K309" s="102">
        <v>2191181.73</v>
      </c>
      <c r="L309" s="102">
        <v>2100087.1</v>
      </c>
      <c r="M309" s="102">
        <v>2325625.59</v>
      </c>
      <c r="N309" s="102">
        <v>26583674.149999999</v>
      </c>
    </row>
    <row r="310" spans="1:14" x14ac:dyDescent="0.25">
      <c r="A310" s="87"/>
      <c r="B310" s="88"/>
      <c r="C310" s="88"/>
      <c r="D310" s="88"/>
      <c r="E310" s="88"/>
      <c r="F310" s="88"/>
      <c r="G310" s="88"/>
      <c r="H310" s="88"/>
      <c r="I310" s="88"/>
      <c r="J310" s="88"/>
      <c r="K310" s="88"/>
      <c r="L310" s="88"/>
      <c r="M310" s="88"/>
      <c r="N310" s="88"/>
    </row>
    <row r="311" spans="1:14" x14ac:dyDescent="0.25">
      <c r="A311" s="94" t="s">
        <v>339</v>
      </c>
      <c r="B311" s="102">
        <v>628852.53</v>
      </c>
      <c r="C311" s="102">
        <v>617298.06000000006</v>
      </c>
      <c r="D311" s="102">
        <v>601256.55000000005</v>
      </c>
      <c r="E311" s="102">
        <v>678739.18</v>
      </c>
      <c r="F311" s="102">
        <v>620669.81000000006</v>
      </c>
      <c r="G311" s="102">
        <v>636552.4</v>
      </c>
      <c r="H311" s="102">
        <v>692712.89</v>
      </c>
      <c r="I311" s="102">
        <v>686248.59</v>
      </c>
      <c r="J311" s="102">
        <v>678497.31</v>
      </c>
      <c r="K311" s="102">
        <v>721386.53</v>
      </c>
      <c r="L311" s="102">
        <v>715820.92</v>
      </c>
      <c r="M311" s="102">
        <v>737980.45</v>
      </c>
      <c r="N311" s="102">
        <v>8016015.2199999997</v>
      </c>
    </row>
    <row r="312" spans="1:14" x14ac:dyDescent="0.25">
      <c r="A312" s="105" t="s">
        <v>171</v>
      </c>
      <c r="B312" s="106">
        <v>2.35505233881E-2</v>
      </c>
      <c r="C312" s="106">
        <v>2.4162922995299999E-2</v>
      </c>
      <c r="D312" s="106">
        <v>2.32637213595E-2</v>
      </c>
      <c r="E312" s="106">
        <v>2.5736434620100002E-2</v>
      </c>
      <c r="F312" s="106">
        <v>2.5706514955399998E-2</v>
      </c>
      <c r="G312" s="106">
        <v>2.4685709608000001E-2</v>
      </c>
      <c r="H312" s="106">
        <v>2.7385444028699999E-2</v>
      </c>
      <c r="I312" s="106">
        <v>2.7814322021599999E-2</v>
      </c>
      <c r="J312" s="106">
        <v>2.88927812656E-2</v>
      </c>
      <c r="K312" s="106">
        <v>2.97871001915E-2</v>
      </c>
      <c r="L312" s="106">
        <v>2.89001761221E-2</v>
      </c>
      <c r="M312" s="106">
        <v>3.10067941387E-2</v>
      </c>
      <c r="N312" s="106">
        <v>2.6663488837199999E-2</v>
      </c>
    </row>
    <row r="313" spans="1:14" x14ac:dyDescent="0.25">
      <c r="A313" s="94"/>
      <c r="B313" s="101"/>
      <c r="C313" s="101"/>
      <c r="D313" s="101"/>
      <c r="E313" s="101"/>
      <c r="F313" s="101"/>
      <c r="G313" s="101"/>
      <c r="H313" s="101"/>
      <c r="I313" s="101"/>
      <c r="J313" s="101"/>
      <c r="K313" s="101"/>
      <c r="L313" s="101"/>
      <c r="M313" s="101"/>
      <c r="N313" s="101"/>
    </row>
    <row r="314" spans="1:14" x14ac:dyDescent="0.25">
      <c r="A314" s="94" t="s">
        <v>172</v>
      </c>
      <c r="B314" s="102">
        <v>1332391</v>
      </c>
      <c r="C314" s="102">
        <v>1274034</v>
      </c>
      <c r="D314" s="102">
        <v>1290831</v>
      </c>
      <c r="E314" s="102">
        <v>1316938</v>
      </c>
      <c r="F314" s="102">
        <v>1211395</v>
      </c>
      <c r="G314" s="102">
        <v>1285916</v>
      </c>
      <c r="H314" s="102">
        <v>1262380</v>
      </c>
      <c r="I314" s="102">
        <v>1242825</v>
      </c>
      <c r="J314" s="102">
        <v>1175429</v>
      </c>
      <c r="K314" s="102">
        <v>1204419</v>
      </c>
      <c r="L314" s="102">
        <v>1252633</v>
      </c>
      <c r="M314" s="102">
        <v>1174221</v>
      </c>
      <c r="N314" s="102">
        <v>15023412</v>
      </c>
    </row>
    <row r="315" spans="1:14" x14ac:dyDescent="0.25">
      <c r="A315" s="87"/>
      <c r="B315" s="88"/>
      <c r="C315" s="88"/>
      <c r="D315" s="88"/>
      <c r="E315" s="88"/>
      <c r="F315" s="88"/>
      <c r="G315" s="88"/>
      <c r="H315" s="88"/>
      <c r="I315" s="88"/>
      <c r="J315" s="88"/>
      <c r="K315" s="88"/>
      <c r="L315" s="88"/>
      <c r="M315" s="88"/>
      <c r="N315" s="88"/>
    </row>
    <row r="316" spans="1:14" ht="23.25" x14ac:dyDescent="0.25">
      <c r="A316" s="87" t="s">
        <v>340</v>
      </c>
      <c r="B316" s="90">
        <v>152311.59</v>
      </c>
      <c r="C316" s="90">
        <v>139360.82999999999</v>
      </c>
      <c r="D316" s="90">
        <v>8645.99</v>
      </c>
      <c r="E316" s="90">
        <v>106444.65</v>
      </c>
      <c r="F316" s="90">
        <v>101731.39</v>
      </c>
      <c r="G316" s="90">
        <v>132638.97</v>
      </c>
      <c r="H316" s="90">
        <v>117339.53</v>
      </c>
      <c r="I316" s="90">
        <v>131376.15</v>
      </c>
      <c r="J316" s="90">
        <v>153888.20000000001</v>
      </c>
      <c r="K316" s="90">
        <v>117068.2</v>
      </c>
      <c r="L316" s="90">
        <v>55092.45</v>
      </c>
      <c r="M316" s="90">
        <v>40976.550000000003</v>
      </c>
      <c r="N316" s="90">
        <v>1256874.5</v>
      </c>
    </row>
    <row r="317" spans="1:14" x14ac:dyDescent="0.25">
      <c r="A317" s="87" t="s">
        <v>173</v>
      </c>
      <c r="B317" s="90">
        <v>129.91</v>
      </c>
      <c r="C317" s="90">
        <v>37.89</v>
      </c>
      <c r="D317" s="90">
        <v>84.44</v>
      </c>
      <c r="E317" s="90">
        <v>32.1</v>
      </c>
      <c r="F317" s="90">
        <v>58.33</v>
      </c>
      <c r="G317" s="90">
        <v>165.23</v>
      </c>
      <c r="H317" s="90">
        <v>15.99</v>
      </c>
      <c r="I317" s="90">
        <v>45.85</v>
      </c>
      <c r="J317" s="90">
        <v>46.55</v>
      </c>
      <c r="K317" s="90">
        <v>72.55</v>
      </c>
      <c r="L317" s="90">
        <v>71.45</v>
      </c>
      <c r="M317" s="90">
        <v>42.22</v>
      </c>
      <c r="N317" s="90">
        <v>802.51</v>
      </c>
    </row>
    <row r="318" spans="1:14" x14ac:dyDescent="0.25">
      <c r="A318" s="87" t="s">
        <v>341</v>
      </c>
      <c r="B318" s="90">
        <v>4917.1499999999996</v>
      </c>
      <c r="C318" s="90">
        <v>7930.61</v>
      </c>
      <c r="D318" s="90">
        <v>5658.67</v>
      </c>
      <c r="E318" s="90">
        <v>8710.89</v>
      </c>
      <c r="F318" s="90">
        <v>13714.75</v>
      </c>
      <c r="G318" s="90">
        <v>5217.1099999999997</v>
      </c>
      <c r="H318" s="90">
        <v>6995.45</v>
      </c>
      <c r="I318" s="90">
        <v>8771.66</v>
      </c>
      <c r="J318" s="90">
        <v>10028.16</v>
      </c>
      <c r="K318" s="90">
        <v>7824.77</v>
      </c>
      <c r="L318" s="90">
        <v>10675.79</v>
      </c>
      <c r="M318" s="90">
        <v>14366.46</v>
      </c>
      <c r="N318" s="90">
        <v>104811.47</v>
      </c>
    </row>
    <row r="319" spans="1:14" x14ac:dyDescent="0.25">
      <c r="A319" s="87" t="s">
        <v>342</v>
      </c>
      <c r="B319" s="90">
        <v>4030.16</v>
      </c>
      <c r="C319" s="90">
        <v>2681.17</v>
      </c>
      <c r="D319" s="90">
        <v>83558.16</v>
      </c>
      <c r="E319" s="90">
        <v>2023.33</v>
      </c>
      <c r="F319" s="90">
        <v>2028.16</v>
      </c>
      <c r="G319" s="90">
        <v>3510.61</v>
      </c>
      <c r="H319" s="90">
        <v>2615.62</v>
      </c>
      <c r="I319" s="90">
        <v>5150.66</v>
      </c>
      <c r="J319" s="90">
        <v>1743.39</v>
      </c>
      <c r="K319" s="90">
        <v>1351.51</v>
      </c>
      <c r="L319" s="90">
        <v>979.32</v>
      </c>
      <c r="M319" s="90">
        <v>2150.39</v>
      </c>
      <c r="N319" s="90">
        <v>111822.48</v>
      </c>
    </row>
    <row r="320" spans="1:14" x14ac:dyDescent="0.25">
      <c r="A320" s="87" t="s">
        <v>174</v>
      </c>
      <c r="B320" s="96">
        <v>563.79999999999995</v>
      </c>
      <c r="C320" s="96">
        <v>1377.75</v>
      </c>
      <c r="D320" s="96">
        <v>2762.35</v>
      </c>
      <c r="E320" s="96">
        <v>1212.9000000000001</v>
      </c>
      <c r="F320" s="96">
        <v>686.76</v>
      </c>
      <c r="G320" s="96">
        <v>1515.5</v>
      </c>
      <c r="H320" s="96">
        <v>769.52</v>
      </c>
      <c r="I320" s="96">
        <v>543.9</v>
      </c>
      <c r="J320" s="96">
        <v>328.33</v>
      </c>
      <c r="K320" s="96">
        <v>313.63</v>
      </c>
      <c r="L320" s="96">
        <v>112.85</v>
      </c>
      <c r="M320" s="96">
        <v>340.27</v>
      </c>
      <c r="N320" s="96">
        <v>10527.56</v>
      </c>
    </row>
    <row r="321" spans="1:14" ht="23.25" x14ac:dyDescent="0.25">
      <c r="A321" s="94" t="s">
        <v>175</v>
      </c>
      <c r="B321" s="102">
        <v>161952.60999999999</v>
      </c>
      <c r="C321" s="102">
        <v>151388.25</v>
      </c>
      <c r="D321" s="102">
        <v>100709.61</v>
      </c>
      <c r="E321" s="102">
        <v>118423.87</v>
      </c>
      <c r="F321" s="102">
        <v>118219.39</v>
      </c>
      <c r="G321" s="102">
        <v>143047.42000000001</v>
      </c>
      <c r="H321" s="102">
        <v>127736.11</v>
      </c>
      <c r="I321" s="102">
        <v>145888.22</v>
      </c>
      <c r="J321" s="102">
        <v>166034.63</v>
      </c>
      <c r="K321" s="102">
        <v>126630.66</v>
      </c>
      <c r="L321" s="102">
        <v>66931.86</v>
      </c>
      <c r="M321" s="102">
        <v>57875.89</v>
      </c>
      <c r="N321" s="102">
        <v>1484838.52</v>
      </c>
    </row>
    <row r="322" spans="1:14" x14ac:dyDescent="0.25">
      <c r="A322" s="94"/>
      <c r="B322" s="107"/>
      <c r="C322" s="107"/>
      <c r="D322" s="107"/>
      <c r="E322" s="107"/>
      <c r="F322" s="107"/>
      <c r="G322" s="107"/>
      <c r="H322" s="107"/>
      <c r="I322" s="107"/>
      <c r="J322" s="107"/>
      <c r="K322" s="107"/>
      <c r="L322" s="107"/>
      <c r="M322" s="107"/>
      <c r="N322" s="107"/>
    </row>
    <row r="323" spans="1:14" x14ac:dyDescent="0.25">
      <c r="A323" s="94" t="s">
        <v>343</v>
      </c>
      <c r="B323" s="102">
        <v>22368332.829999998</v>
      </c>
      <c r="C323" s="102">
        <v>21855240.600000001</v>
      </c>
      <c r="D323" s="102">
        <v>20811004.309999999</v>
      </c>
      <c r="E323" s="102">
        <v>22257090.41</v>
      </c>
      <c r="F323" s="102">
        <v>20409799</v>
      </c>
      <c r="G323" s="102">
        <v>21504085</v>
      </c>
      <c r="H323" s="102">
        <v>20929120.969999999</v>
      </c>
      <c r="I323" s="102">
        <v>21676307.079999998</v>
      </c>
      <c r="J323" s="102">
        <v>20864736.329999998</v>
      </c>
      <c r="K323" s="102">
        <v>20836708.789999999</v>
      </c>
      <c r="L323" s="102">
        <v>20820833.219999999</v>
      </c>
      <c r="M323" s="102">
        <v>20467114.52</v>
      </c>
      <c r="N323" s="102">
        <v>254800373.06</v>
      </c>
    </row>
    <row r="324" spans="1:14" x14ac:dyDescent="0.25">
      <c r="A324" s="87"/>
      <c r="B324" s="88"/>
      <c r="C324" s="88"/>
      <c r="D324" s="88"/>
      <c r="E324" s="88"/>
      <c r="F324" s="88"/>
      <c r="G324" s="88"/>
      <c r="H324" s="88"/>
      <c r="I324" s="88"/>
      <c r="J324" s="88"/>
      <c r="K324" s="88"/>
      <c r="L324" s="88"/>
      <c r="M324" s="88"/>
      <c r="N324" s="88"/>
    </row>
    <row r="325" spans="1:14" x14ac:dyDescent="0.25">
      <c r="A325" s="94" t="s">
        <v>11</v>
      </c>
      <c r="B325" s="102">
        <v>4333941.24</v>
      </c>
      <c r="C325" s="102">
        <v>3692084.95</v>
      </c>
      <c r="D325" s="102">
        <v>5034239.4800000004</v>
      </c>
      <c r="E325" s="102">
        <v>4115606.12</v>
      </c>
      <c r="F325" s="102">
        <v>3734656.64</v>
      </c>
      <c r="G325" s="102">
        <v>4282186.09</v>
      </c>
      <c r="H325" s="102">
        <v>4365809.04</v>
      </c>
      <c r="I325" s="102">
        <v>2996183.21</v>
      </c>
      <c r="J325" s="102">
        <v>2618544.9700000002</v>
      </c>
      <c r="K325" s="102">
        <v>3381376.4</v>
      </c>
      <c r="L325" s="102">
        <v>3947905.8</v>
      </c>
      <c r="M325" s="102">
        <v>3333490.17</v>
      </c>
      <c r="N325" s="102">
        <v>45836024.109999999</v>
      </c>
    </row>
    <row r="326" spans="1:14" x14ac:dyDescent="0.25">
      <c r="A326" s="87"/>
      <c r="B326" s="88"/>
      <c r="C326" s="88"/>
      <c r="D326" s="88"/>
      <c r="E326" s="88"/>
      <c r="F326" s="88"/>
      <c r="G326" s="88"/>
      <c r="H326" s="88"/>
      <c r="I326" s="88"/>
      <c r="J326" s="88"/>
      <c r="K326" s="88"/>
      <c r="L326" s="88"/>
      <c r="M326" s="88"/>
      <c r="N326" s="88"/>
    </row>
    <row r="327" spans="1:14" x14ac:dyDescent="0.25">
      <c r="A327" s="94" t="s">
        <v>176</v>
      </c>
      <c r="B327" s="108">
        <v>0.16230607283250001</v>
      </c>
      <c r="C327" s="108">
        <v>0.14451943091950001</v>
      </c>
      <c r="D327" s="108">
        <v>0.1947839811806</v>
      </c>
      <c r="E327" s="108">
        <v>0.15605556736750001</v>
      </c>
      <c r="F327" s="108">
        <v>0.15467967866759999</v>
      </c>
      <c r="G327" s="108">
        <v>0.16606457269659999</v>
      </c>
      <c r="H327" s="108">
        <v>0.1725962095279</v>
      </c>
      <c r="I327" s="108">
        <v>0.12143821619880001</v>
      </c>
      <c r="J327" s="108">
        <v>0.11150677524780001</v>
      </c>
      <c r="K327" s="108">
        <v>0.13962195497589999</v>
      </c>
      <c r="L327" s="108">
        <v>0.15939066566179999</v>
      </c>
      <c r="M327" s="108">
        <v>0.1400590536845</v>
      </c>
      <c r="N327" s="108">
        <v>0.15246332294250001</v>
      </c>
    </row>
    <row r="328" spans="1:14" x14ac:dyDescent="0.25">
      <c r="A328" s="87"/>
      <c r="B328" s="88"/>
      <c r="C328" s="88"/>
      <c r="D328" s="88"/>
      <c r="E328" s="88"/>
      <c r="F328" s="88"/>
      <c r="G328" s="88"/>
      <c r="H328" s="88"/>
      <c r="I328" s="88"/>
      <c r="J328" s="88"/>
      <c r="K328" s="88"/>
      <c r="L328" s="88"/>
      <c r="M328" s="88"/>
      <c r="N328" s="88"/>
    </row>
    <row r="329" spans="1:14" x14ac:dyDescent="0.25">
      <c r="A329" s="87" t="s">
        <v>177</v>
      </c>
      <c r="B329" s="90">
        <v>4774110.2699999996</v>
      </c>
      <c r="C329" s="90">
        <v>4776776.1500000004</v>
      </c>
      <c r="D329" s="90">
        <v>4776922.03</v>
      </c>
      <c r="E329" s="90">
        <v>4802834.8899999997</v>
      </c>
      <c r="F329" s="90">
        <v>4836438.53</v>
      </c>
      <c r="G329" s="90">
        <v>4838587.8499999996</v>
      </c>
      <c r="H329" s="90">
        <v>4838837.8499999996</v>
      </c>
      <c r="I329" s="90">
        <v>4838587.8499999996</v>
      </c>
      <c r="J329" s="90">
        <v>4838587.8499999996</v>
      </c>
      <c r="K329" s="90">
        <v>4848503.49</v>
      </c>
      <c r="L329" s="90">
        <v>4848503.49</v>
      </c>
      <c r="M329" s="90">
        <v>4878197.4000000004</v>
      </c>
      <c r="N329" s="90">
        <v>57896887.649999999</v>
      </c>
    </row>
    <row r="330" spans="1:14" x14ac:dyDescent="0.25">
      <c r="A330" s="105" t="s">
        <v>178</v>
      </c>
      <c r="B330" s="109">
        <v>0.90780082463409995</v>
      </c>
      <c r="C330" s="109">
        <v>0.77292400440410003</v>
      </c>
      <c r="D330" s="109">
        <v>1.0538667887782001</v>
      </c>
      <c r="E330" s="109">
        <v>0.85691184774420004</v>
      </c>
      <c r="F330" s="109">
        <v>0.77219148281000005</v>
      </c>
      <c r="G330" s="109">
        <v>0.88500740768819997</v>
      </c>
      <c r="H330" s="109">
        <v>0.90224330207720005</v>
      </c>
      <c r="I330" s="109">
        <v>0.61922678741899995</v>
      </c>
      <c r="J330" s="109">
        <v>0.5411795861059</v>
      </c>
      <c r="K330" s="109">
        <v>0.69740620110389995</v>
      </c>
      <c r="L330" s="109">
        <v>0.81425244060199997</v>
      </c>
      <c r="M330" s="109">
        <v>0.68334466538810001</v>
      </c>
      <c r="N330" s="109">
        <v>0.79168373241559997</v>
      </c>
    </row>
    <row r="331" spans="1:14" x14ac:dyDescent="0.25">
      <c r="A331" s="87"/>
      <c r="B331" s="88"/>
      <c r="C331" s="88"/>
      <c r="D331" s="88"/>
      <c r="E331" s="88"/>
      <c r="F331" s="88"/>
      <c r="G331" s="88"/>
      <c r="H331" s="88"/>
      <c r="I331" s="88"/>
      <c r="J331" s="88"/>
      <c r="K331" s="88"/>
      <c r="L331" s="88"/>
      <c r="M331" s="88"/>
      <c r="N331" s="88"/>
    </row>
    <row r="332" spans="1:14" x14ac:dyDescent="0.25">
      <c r="A332" s="94" t="s">
        <v>179</v>
      </c>
      <c r="B332" s="102">
        <v>-440169.03</v>
      </c>
      <c r="C332" s="102">
        <v>-1084691.2</v>
      </c>
      <c r="D332" s="102">
        <v>257317.45</v>
      </c>
      <c r="E332" s="102">
        <v>-687228.77</v>
      </c>
      <c r="F332" s="102">
        <v>-1101781.8899999999</v>
      </c>
      <c r="G332" s="102">
        <v>-556401.76</v>
      </c>
      <c r="H332" s="102">
        <v>-473028.81</v>
      </c>
      <c r="I332" s="102">
        <v>-1842404.64</v>
      </c>
      <c r="J332" s="102">
        <v>-2220042.88</v>
      </c>
      <c r="K332" s="102">
        <v>-1467127.09</v>
      </c>
      <c r="L332" s="102">
        <v>-900597.69</v>
      </c>
      <c r="M332" s="102">
        <v>-1544707.23</v>
      </c>
      <c r="N332" s="102">
        <v>-12060863.539999999</v>
      </c>
    </row>
    <row r="333" spans="1:14" x14ac:dyDescent="0.25">
      <c r="A333" s="87"/>
      <c r="B333" s="88"/>
      <c r="C333" s="88"/>
      <c r="D333" s="88"/>
      <c r="E333" s="88"/>
      <c r="F333" s="88"/>
      <c r="G333" s="88"/>
      <c r="H333" s="88"/>
      <c r="I333" s="88"/>
      <c r="J333" s="88"/>
      <c r="K333" s="88"/>
      <c r="L333" s="88"/>
      <c r="M333" s="88"/>
      <c r="N333" s="88"/>
    </row>
    <row r="334" spans="1:14" x14ac:dyDescent="0.25">
      <c r="A334" s="87" t="s">
        <v>180</v>
      </c>
      <c r="B334" s="90">
        <v>44243.040000000001</v>
      </c>
      <c r="C334" s="90">
        <v>-73261.179999999993</v>
      </c>
      <c r="D334" s="90">
        <v>43952.75</v>
      </c>
      <c r="E334" s="90">
        <v>37678.99</v>
      </c>
      <c r="F334" s="90">
        <v>34226.339999999997</v>
      </c>
      <c r="G334" s="90">
        <v>37807.800000000003</v>
      </c>
      <c r="H334" s="90">
        <v>36596.58</v>
      </c>
      <c r="I334" s="90">
        <v>37912.339999999997</v>
      </c>
      <c r="J334" s="90">
        <v>36596.58</v>
      </c>
      <c r="K334" s="90">
        <v>37824.92</v>
      </c>
      <c r="L334" s="90">
        <v>37915.519999999997</v>
      </c>
      <c r="M334" s="90">
        <v>36430.83</v>
      </c>
      <c r="N334" s="90">
        <v>347924.51</v>
      </c>
    </row>
    <row r="335" spans="1:14" x14ac:dyDescent="0.25">
      <c r="A335" s="87" t="s">
        <v>181</v>
      </c>
      <c r="B335" s="90">
        <v>639.84</v>
      </c>
      <c r="C335" s="90">
        <v>0</v>
      </c>
      <c r="D335" s="90">
        <v>1185.6300000000001</v>
      </c>
      <c r="E335" s="90">
        <v>539.38</v>
      </c>
      <c r="F335" s="90">
        <v>513.77</v>
      </c>
      <c r="G335" s="90">
        <v>488.06</v>
      </c>
      <c r="H335" s="90">
        <v>462.23</v>
      </c>
      <c r="I335" s="90">
        <v>436.27</v>
      </c>
      <c r="J335" s="90">
        <v>410.22</v>
      </c>
      <c r="K335" s="90">
        <v>387.22</v>
      </c>
      <c r="L335" s="90">
        <v>364.1</v>
      </c>
      <c r="M335" s="90">
        <v>344.15</v>
      </c>
      <c r="N335" s="90">
        <v>5770.87</v>
      </c>
    </row>
    <row r="336" spans="1:14" x14ac:dyDescent="0.25">
      <c r="A336" s="87" t="s">
        <v>182</v>
      </c>
      <c r="B336" s="90">
        <v>80533.48</v>
      </c>
      <c r="C336" s="90">
        <v>66138.539999999994</v>
      </c>
      <c r="D336" s="90">
        <v>89737.69</v>
      </c>
      <c r="E336" s="90">
        <v>76337.570000000007</v>
      </c>
      <c r="F336" s="90">
        <v>67179.070000000007</v>
      </c>
      <c r="G336" s="90">
        <v>68379.53</v>
      </c>
      <c r="H336" s="90">
        <v>68841.789999999994</v>
      </c>
      <c r="I336" s="90">
        <v>76067.259999999995</v>
      </c>
      <c r="J336" s="90">
        <v>76011.5</v>
      </c>
      <c r="K336" s="90">
        <v>74349.36</v>
      </c>
      <c r="L336" s="90">
        <v>74109.31</v>
      </c>
      <c r="M336" s="90">
        <v>74206.100000000006</v>
      </c>
      <c r="N336" s="90">
        <v>891891.19999999995</v>
      </c>
    </row>
    <row r="337" spans="1:14" x14ac:dyDescent="0.25">
      <c r="A337" s="87" t="s">
        <v>183</v>
      </c>
      <c r="B337" s="90">
        <v>0</v>
      </c>
      <c r="C337" s="90">
        <v>0</v>
      </c>
      <c r="D337" s="90">
        <v>11700</v>
      </c>
      <c r="E337" s="90">
        <v>-11700</v>
      </c>
      <c r="F337" s="90">
        <v>0</v>
      </c>
      <c r="G337" s="90">
        <v>0</v>
      </c>
      <c r="H337" s="90">
        <v>0</v>
      </c>
      <c r="I337" s="90">
        <v>0</v>
      </c>
      <c r="J337" s="90">
        <v>0</v>
      </c>
      <c r="K337" s="90">
        <v>0</v>
      </c>
      <c r="L337" s="90">
        <v>0</v>
      </c>
      <c r="M337" s="90">
        <v>0</v>
      </c>
      <c r="N337" s="90">
        <v>0</v>
      </c>
    </row>
    <row r="338" spans="1:14" x14ac:dyDescent="0.25">
      <c r="A338" s="87" t="s">
        <v>184</v>
      </c>
      <c r="B338" s="90">
        <v>400961.56</v>
      </c>
      <c r="C338" s="90">
        <v>397913.06</v>
      </c>
      <c r="D338" s="90">
        <v>397913.06</v>
      </c>
      <c r="E338" s="90">
        <v>371958.39</v>
      </c>
      <c r="F338" s="90">
        <v>338354.76</v>
      </c>
      <c r="G338" s="90">
        <v>336205.44</v>
      </c>
      <c r="H338" s="90">
        <v>336205.44</v>
      </c>
      <c r="I338" s="90">
        <v>336205.44</v>
      </c>
      <c r="J338" s="90">
        <v>336205.44</v>
      </c>
      <c r="K338" s="90">
        <v>326185.67</v>
      </c>
      <c r="L338" s="90">
        <v>326185.67</v>
      </c>
      <c r="M338" s="90">
        <v>296558.21999999997</v>
      </c>
      <c r="N338" s="90">
        <v>4200852.1500000004</v>
      </c>
    </row>
    <row r="339" spans="1:14" x14ac:dyDescent="0.25">
      <c r="A339" s="87" t="s">
        <v>352</v>
      </c>
      <c r="B339" s="96">
        <v>0</v>
      </c>
      <c r="C339" s="96">
        <v>0</v>
      </c>
      <c r="D339" s="96">
        <v>0</v>
      </c>
      <c r="E339" s="96">
        <v>0</v>
      </c>
      <c r="F339" s="96">
        <v>0</v>
      </c>
      <c r="G339" s="96">
        <v>0</v>
      </c>
      <c r="H339" s="96">
        <v>0</v>
      </c>
      <c r="I339" s="96">
        <v>0</v>
      </c>
      <c r="J339" s="96">
        <v>0</v>
      </c>
      <c r="K339" s="96">
        <v>-28286.58</v>
      </c>
      <c r="L339" s="96">
        <v>1017.34</v>
      </c>
      <c r="M339" s="96">
        <v>0</v>
      </c>
      <c r="N339" s="96">
        <v>-27269.24</v>
      </c>
    </row>
    <row r="340" spans="1:14" x14ac:dyDescent="0.25">
      <c r="A340" s="94" t="s">
        <v>344</v>
      </c>
      <c r="B340" s="102">
        <v>526377.92000000004</v>
      </c>
      <c r="C340" s="102">
        <v>390790.42</v>
      </c>
      <c r="D340" s="102">
        <v>544489.13</v>
      </c>
      <c r="E340" s="102">
        <v>474814.33</v>
      </c>
      <c r="F340" s="102">
        <v>440273.94</v>
      </c>
      <c r="G340" s="102">
        <v>442880.83</v>
      </c>
      <c r="H340" s="102">
        <v>442106.04</v>
      </c>
      <c r="I340" s="102">
        <v>450621.31</v>
      </c>
      <c r="J340" s="102">
        <v>449223.74</v>
      </c>
      <c r="K340" s="102">
        <v>410460.59</v>
      </c>
      <c r="L340" s="102">
        <v>439591.94</v>
      </c>
      <c r="M340" s="102">
        <v>407539.3</v>
      </c>
      <c r="N340" s="102">
        <v>5419169.4900000002</v>
      </c>
    </row>
    <row r="341" spans="1:14" x14ac:dyDescent="0.25">
      <c r="A341" s="87"/>
      <c r="B341" s="88"/>
      <c r="C341" s="88"/>
      <c r="D341" s="88"/>
      <c r="E341" s="88"/>
      <c r="F341" s="88"/>
      <c r="G341" s="88"/>
      <c r="H341" s="88"/>
      <c r="I341" s="88"/>
      <c r="J341" s="88"/>
      <c r="K341" s="88"/>
      <c r="L341" s="88"/>
      <c r="M341" s="88"/>
      <c r="N341" s="88"/>
    </row>
    <row r="342" spans="1:14" ht="15.75" thickBot="1" x14ac:dyDescent="0.3">
      <c r="A342" s="94" t="s">
        <v>185</v>
      </c>
      <c r="B342" s="97">
        <v>-966546.95</v>
      </c>
      <c r="C342" s="97">
        <v>-1475481.62</v>
      </c>
      <c r="D342" s="97">
        <v>-287171.68</v>
      </c>
      <c r="E342" s="97">
        <v>-1162043.1000000001</v>
      </c>
      <c r="F342" s="97">
        <v>-1542055.83</v>
      </c>
      <c r="G342" s="97">
        <v>-999282.59</v>
      </c>
      <c r="H342" s="97">
        <v>-915134.85</v>
      </c>
      <c r="I342" s="97">
        <v>-2293025.9500000002</v>
      </c>
      <c r="J342" s="97">
        <v>-2669266.62</v>
      </c>
      <c r="K342" s="97">
        <v>-1877587.68</v>
      </c>
      <c r="L342" s="97">
        <v>-1340189.6299999999</v>
      </c>
      <c r="M342" s="97">
        <v>-1952246.53</v>
      </c>
      <c r="N342" s="97">
        <v>-17480033.030000001</v>
      </c>
    </row>
    <row r="343" spans="1:14" ht="15.75" thickTop="1" x14ac:dyDescent="0.25">
      <c r="A343" s="110"/>
      <c r="B343" s="111"/>
      <c r="C343" s="111"/>
      <c r="D343" s="111"/>
      <c r="E343" s="111"/>
      <c r="F343" s="111"/>
      <c r="G343" s="111"/>
      <c r="H343" s="111"/>
      <c r="I343" s="111"/>
      <c r="J343" s="111"/>
      <c r="K343" s="111"/>
      <c r="L343" s="111"/>
      <c r="M343" s="111"/>
      <c r="N343" s="111"/>
    </row>
    <row r="344" spans="1:14" x14ac:dyDescent="0.25">
      <c r="A344" s="87"/>
      <c r="B344" s="88"/>
      <c r="C344" s="88"/>
      <c r="D344" s="88"/>
      <c r="E344" s="88"/>
      <c r="F344" s="88"/>
      <c r="G344" s="88"/>
      <c r="H344" s="88"/>
      <c r="I344" s="88"/>
      <c r="J344" s="88"/>
      <c r="K344" s="88"/>
      <c r="L344" s="88"/>
      <c r="M344" s="88"/>
      <c r="N344" s="88"/>
    </row>
    <row r="345" spans="1:14" x14ac:dyDescent="0.25">
      <c r="A345" s="87"/>
      <c r="B345" s="88"/>
      <c r="C345" s="88"/>
      <c r="D345" s="88"/>
      <c r="E345" s="88"/>
      <c r="F345" s="88"/>
      <c r="G345" s="88"/>
      <c r="H345" s="88"/>
      <c r="I345" s="88"/>
      <c r="J345" s="88"/>
      <c r="K345" s="88"/>
      <c r="L345" s="88"/>
      <c r="M345" s="88"/>
      <c r="N345" s="88"/>
    </row>
    <row r="346" spans="1:14" x14ac:dyDescent="0.25">
      <c r="A346" s="87"/>
      <c r="B346" s="88"/>
      <c r="C346" s="88"/>
      <c r="D346" s="88"/>
      <c r="E346" s="88"/>
      <c r="F346" s="88"/>
      <c r="G346" s="88"/>
      <c r="H346" s="88"/>
      <c r="I346" s="88"/>
      <c r="J346" s="88"/>
      <c r="K346" s="88"/>
      <c r="L346" s="88"/>
      <c r="M346" s="88"/>
      <c r="N346" s="88"/>
    </row>
    <row r="347" spans="1:14" x14ac:dyDescent="0.25">
      <c r="A347" s="87"/>
      <c r="B347" s="88"/>
      <c r="C347" s="88"/>
      <c r="D347" s="88"/>
      <c r="E347" s="88"/>
      <c r="F347" s="88"/>
      <c r="G347" s="88"/>
      <c r="H347" s="88"/>
      <c r="I347" s="88"/>
      <c r="J347" s="88"/>
      <c r="K347" s="88"/>
      <c r="L347" s="88"/>
      <c r="M347" s="88"/>
      <c r="N347" s="88"/>
    </row>
    <row r="348" spans="1:14" x14ac:dyDescent="0.25">
      <c r="A348" s="87"/>
      <c r="B348" s="88"/>
      <c r="C348" s="88"/>
      <c r="D348" s="88"/>
      <c r="E348" s="88"/>
      <c r="F348" s="88"/>
      <c r="G348" s="88"/>
      <c r="H348" s="88"/>
      <c r="I348" s="88"/>
      <c r="J348" s="88"/>
      <c r="K348" s="88"/>
      <c r="L348" s="88"/>
      <c r="M348" s="88"/>
      <c r="N348" s="88"/>
    </row>
    <row r="349" spans="1:14" x14ac:dyDescent="0.25">
      <c r="A349" s="87"/>
      <c r="B349" s="88"/>
      <c r="C349" s="88"/>
      <c r="D349" s="88"/>
      <c r="E349" s="88"/>
      <c r="F349" s="88"/>
      <c r="G349" s="88"/>
      <c r="H349" s="88"/>
      <c r="I349" s="88"/>
      <c r="J349" s="88"/>
      <c r="K349" s="88"/>
      <c r="L349" s="88"/>
      <c r="M349" s="88"/>
      <c r="N349" s="88"/>
    </row>
    <row r="350" spans="1:14" x14ac:dyDescent="0.25">
      <c r="A350" s="87"/>
      <c r="B350" s="88"/>
      <c r="C350" s="88"/>
      <c r="D350" s="88"/>
      <c r="E350" s="88"/>
      <c r="F350" s="88"/>
      <c r="G350" s="88"/>
      <c r="H350" s="88"/>
      <c r="I350" s="88"/>
      <c r="J350" s="88"/>
      <c r="K350" s="88"/>
      <c r="L350" s="88"/>
      <c r="M350" s="88"/>
      <c r="N350" s="88"/>
    </row>
    <row r="351" spans="1:14" x14ac:dyDescent="0.25">
      <c r="A351" s="87"/>
      <c r="B351" s="88"/>
      <c r="C351" s="88"/>
      <c r="D351" s="88"/>
      <c r="E351" s="88"/>
      <c r="F351" s="88"/>
      <c r="G351" s="88"/>
      <c r="H351" s="88"/>
      <c r="I351" s="88"/>
      <c r="J351" s="88"/>
      <c r="K351" s="88"/>
      <c r="L351" s="88"/>
      <c r="M351" s="88"/>
      <c r="N351" s="88"/>
    </row>
    <row r="352" spans="1:14" x14ac:dyDescent="0.25">
      <c r="A352" s="87"/>
      <c r="B352" s="88"/>
      <c r="C352" s="88"/>
      <c r="D352" s="88"/>
      <c r="E352" s="88"/>
      <c r="F352" s="88"/>
      <c r="G352" s="88"/>
      <c r="H352" s="88"/>
      <c r="I352" s="88"/>
      <c r="J352" s="88"/>
      <c r="K352" s="88"/>
      <c r="L352" s="88"/>
      <c r="M352" s="88"/>
      <c r="N352" s="88"/>
    </row>
    <row r="353" spans="1:14" x14ac:dyDescent="0.25">
      <c r="A353" s="87"/>
      <c r="B353" s="88"/>
      <c r="C353" s="88"/>
      <c r="D353" s="88"/>
      <c r="E353" s="88"/>
      <c r="F353" s="88"/>
      <c r="G353" s="88"/>
      <c r="H353" s="88"/>
      <c r="I353" s="88"/>
      <c r="J353" s="88"/>
      <c r="K353" s="88"/>
      <c r="L353" s="88"/>
      <c r="M353" s="88"/>
      <c r="N353" s="88"/>
    </row>
    <row r="354" spans="1:14" x14ac:dyDescent="0.25">
      <c r="A354" s="84"/>
      <c r="B354" s="268"/>
      <c r="C354" s="268"/>
      <c r="D354" s="268"/>
      <c r="E354" s="268"/>
      <c r="F354" s="268"/>
      <c r="G354" s="268"/>
      <c r="H354" s="268"/>
      <c r="I354" s="268"/>
      <c r="J354" s="268"/>
      <c r="K354" s="268"/>
      <c r="L354" s="268"/>
      <c r="M354" s="268"/>
      <c r="N354" s="112"/>
    </row>
    <row r="355" spans="1:14" x14ac:dyDescent="0.25">
      <c r="A355" s="84"/>
      <c r="B355" s="268"/>
      <c r="C355" s="268"/>
      <c r="D355" s="268"/>
      <c r="E355" s="268"/>
      <c r="F355" s="268"/>
      <c r="G355" s="268"/>
      <c r="H355" s="268"/>
      <c r="I355" s="268"/>
      <c r="J355" s="268"/>
      <c r="K355" s="268"/>
      <c r="L355" s="268"/>
      <c r="M355" s="268"/>
      <c r="N355" s="112"/>
    </row>
    <row r="356" spans="1:14" x14ac:dyDescent="0.25">
      <c r="A356" s="84"/>
      <c r="B356" s="268" t="s">
        <v>186</v>
      </c>
      <c r="C356" s="268"/>
      <c r="D356" s="268"/>
      <c r="E356" s="268"/>
      <c r="F356" s="268"/>
      <c r="G356" s="268"/>
      <c r="H356" s="268"/>
      <c r="I356" s="268"/>
      <c r="J356" s="268"/>
      <c r="K356" s="268"/>
      <c r="L356" s="268"/>
      <c r="M356" s="268"/>
      <c r="N356" s="112"/>
    </row>
    <row r="357" spans="1:14" x14ac:dyDescent="0.25">
      <c r="A357" s="85" t="s">
        <v>187</v>
      </c>
      <c r="B357" s="269" t="s">
        <v>188</v>
      </c>
      <c r="C357" s="269"/>
      <c r="D357" s="269"/>
      <c r="E357" s="269"/>
      <c r="F357" s="269"/>
      <c r="G357" s="269"/>
      <c r="H357" s="269"/>
      <c r="I357" s="269"/>
      <c r="J357" s="269"/>
      <c r="K357" s="269"/>
      <c r="L357" s="269"/>
      <c r="M357" s="269"/>
      <c r="N357" s="113" t="s">
        <v>189</v>
      </c>
    </row>
  </sheetData>
  <mergeCells count="8">
    <mergeCell ref="B355:M355"/>
    <mergeCell ref="B356:M356"/>
    <mergeCell ref="B357:M357"/>
    <mergeCell ref="B1:M1"/>
    <mergeCell ref="B2:M2"/>
    <mergeCell ref="B3:M3"/>
    <mergeCell ref="B4:N4"/>
    <mergeCell ref="B354:M354"/>
  </mergeCells>
  <pageMargins left="0.25" right="0.25" top="0.75" bottom="0.69999998807907104" header="0.03" footer="0.03"/>
  <pageSetup paperSize="5" scale="93" fitToHeight="0" orientation="landscape" r:id="rId1"/>
  <customProperties>
    <customPr name="EpmWorksheetKeyString_GUID" r:id="rId2"/>
  </customProperties>
  <drawing r:id="rId3"/>
  <legacyDrawing r:id="rId4"/>
  <controls>
    <mc:AlternateContent xmlns:mc="http://schemas.openxmlformats.org/markup-compatibility/2006">
      <mc:Choice Requires="x14">
        <control shapeId="14337" r:id="rId5" name="FPMExcelClientSheetOptionstb1">
          <controlPr defaultSize="0" autoLine="0" autoPict="0" r:id="rId6">
            <anchor moveWithCells="1" sizeWithCells="1">
              <from>
                <xdr:col>0</xdr:col>
                <xdr:colOff>0</xdr:colOff>
                <xdr:row>0</xdr:row>
                <xdr:rowOff>0</xdr:rowOff>
              </from>
              <to>
                <xdr:col>0</xdr:col>
                <xdr:colOff>914400</xdr:colOff>
                <xdr:row>0</xdr:row>
                <xdr:rowOff>0</xdr:rowOff>
              </to>
            </anchor>
          </controlPr>
        </control>
      </mc:Choice>
      <mc:Fallback>
        <control shapeId="14337" r:id="rId5" name="FPMExcelClientSheetOptionstb1"/>
      </mc:Fallback>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Q444"/>
  <sheetViews>
    <sheetView workbookViewId="0"/>
  </sheetViews>
  <sheetFormatPr defaultRowHeight="15" x14ac:dyDescent="0.25"/>
  <cols>
    <col min="1" max="1" width="10.28515625" bestFit="1" customWidth="1"/>
    <col min="2" max="2" width="46.28515625" bestFit="1" customWidth="1"/>
    <col min="3" max="4" width="54" bestFit="1" customWidth="1"/>
    <col min="5" max="5" width="47.28515625" bestFit="1" customWidth="1"/>
    <col min="6" max="6" width="18.140625" bestFit="1" customWidth="1"/>
    <col min="7" max="7" width="19" bestFit="1" customWidth="1"/>
    <col min="8" max="8" width="20.140625" bestFit="1" customWidth="1"/>
    <col min="9" max="10" width="18.7109375" bestFit="1" customWidth="1"/>
    <col min="11" max="11" width="18.140625" bestFit="1" customWidth="1"/>
    <col min="12" max="12" width="20.140625" bestFit="1" customWidth="1"/>
    <col min="13" max="13" width="19" bestFit="1" customWidth="1"/>
    <col min="14" max="14" width="19.85546875" bestFit="1" customWidth="1"/>
    <col min="15" max="15" width="18.7109375" bestFit="1" customWidth="1"/>
    <col min="16" max="16" width="17.5703125" bestFit="1" customWidth="1"/>
    <col min="17" max="17" width="19.5703125" bestFit="1" customWidth="1"/>
    <col min="18" max="18" width="18.7109375" bestFit="1" customWidth="1"/>
    <col min="19" max="19" width="18.140625" bestFit="1" customWidth="1"/>
    <col min="20" max="20" width="20.140625" bestFit="1" customWidth="1"/>
    <col min="21" max="21" width="18.7109375" bestFit="1" customWidth="1"/>
    <col min="22" max="22" width="18.140625" bestFit="1" customWidth="1"/>
  </cols>
  <sheetData>
    <row r="1" spans="1:17" x14ac:dyDescent="0.25">
      <c r="D1" s="1" t="str">
        <f xml:space="preserve"> _xll.EPMOlapMemberO("[TENANT].[H2].[M_00069]","","M_00069 - Signature Healthcare","","000")</f>
        <v>M_00069 - Signature Healthcare</v>
      </c>
      <c r="F1" s="1"/>
    </row>
    <row r="2" spans="1:17" x14ac:dyDescent="0.25">
      <c r="D2" s="1" t="str">
        <f xml:space="preserve"> _xll.EPMOlapMemberO("[MEASURES].[].[PERIODIC]","","Periodic","","000")</f>
        <v>Periodic</v>
      </c>
    </row>
    <row r="4" spans="1:17" x14ac:dyDescent="0.25">
      <c r="F4" s="31" t="str">
        <f xml:space="preserve"> _xll.EPMOlapMemberO("[TIME].[H1].[2020.SEP]","","2020.SEP - 2020 SEP","","000")</f>
        <v>2020.SEP - 2020 SEP</v>
      </c>
      <c r="G4" s="31" t="str">
        <f xml:space="preserve"> _xll.EPMOlapMemberO("[TIME].[H1].[2020.OCT]","","2020.OCT - 2020 OCT","","000")</f>
        <v>2020.OCT - 2020 OCT</v>
      </c>
      <c r="H4" s="31" t="str">
        <f xml:space="preserve"> _xll.EPMOlapMemberO("[TIME].[H1].[2020.NOV]","","2020.NOV - 2020 NOV","","000")</f>
        <v>2020.NOV - 2020 NOV</v>
      </c>
      <c r="I4" s="31" t="str">
        <f xml:space="preserve"> _xll.EPMOlapMemberO("[TIME].[H1].[2020.DEC]","","2020.DEC - 2020 DEC","","000")</f>
        <v>2020.DEC - 2020 DEC</v>
      </c>
      <c r="J4" s="1" t="str">
        <f xml:space="preserve"> _xll.EPMOlapMemberO("[TIME].[H1].[2021.JAN]","","2021.JAN - 2021 JAN","","000")</f>
        <v>2021.JAN - 2021 JAN</v>
      </c>
      <c r="K4" s="1" t="str">
        <f xml:space="preserve"> _xll.EPMOlapMemberO("[TIME].[H1].[2021.FEB]","","2021.FEB - 2021 FEB","","000")</f>
        <v>2021.FEB - 2021 FEB</v>
      </c>
      <c r="L4" s="1" t="str">
        <f xml:space="preserve"> _xll.EPMOlapMemberO("[TIME].[H1].[2021.MAR]","","2021.MAR - 2021 MAR","","000")</f>
        <v>2021.MAR - 2021 MAR</v>
      </c>
      <c r="M4" s="1" t="str">
        <f xml:space="preserve"> _xll.EPMOlapMemberO("[TIME].[H1].[2021.APR]","","2021.APR - 2021 APR","","000")</f>
        <v>2021.APR - 2021 APR</v>
      </c>
      <c r="N4" s="1" t="str">
        <f xml:space="preserve"> _xll.EPMOlapMemberO("[TIME].[H1].[2021.MAY]","","2021.MAY - 2021 MAY","","000")</f>
        <v>2021.MAY - 2021 MAY</v>
      </c>
      <c r="O4" s="1" t="str">
        <f xml:space="preserve"> _xll.EPMOlapMemberO("[TIME].[H1].[2021.JUN]","","2021.JUN - 2021 JUN","","000")</f>
        <v>2021.JUN - 2021 JUN</v>
      </c>
      <c r="P4" s="1" t="str">
        <f xml:space="preserve"> _xll.EPMOlapMemberO("[TIME].[H1].[2021.JUL]","","2021.JUL - 2021 JUL","","000")</f>
        <v>2021.JUL - 2021 JUL</v>
      </c>
      <c r="Q4" s="1" t="str">
        <f xml:space="preserve"> _xll.EPMOlapMemberO("[TIME].[H1].[2021.AUG]","","2021.AUG - 2021 AUG","","000")</f>
        <v>2021.AUG - 2021 AUG</v>
      </c>
    </row>
    <row r="5" spans="1:17" x14ac:dyDescent="0.25">
      <c r="A5" s="29" t="str">
        <f>_xll.EVPRO("Finance",$C5,"Inv_Type")</f>
        <v>Inv_Equity</v>
      </c>
      <c r="B5" s="29" t="str">
        <f t="shared" ref="B5:B58" si="0">MID($C5,FIND("- ",$C5)+2,10000)</f>
        <v>SHC of Whitesburg Gardens</v>
      </c>
      <c r="C5" s="29" t="str">
        <f>IF($D5&lt;&gt;"",$D5,C4)</f>
        <v>S09132 - SHC of Whitesburg Gardens</v>
      </c>
      <c r="D5" s="31" t="str">
        <f xml:space="preserve"> _xll.EPMOlapMemberO("[ENTITY].[H1].[S09132]","","S09132 - SHC of Whitesburg Gardens","","000")</f>
        <v>S09132 - SHC of Whitesburg Gardens</v>
      </c>
      <c r="E5" s="31" t="str">
        <f xml:space="preserve"> _xll.EPMOlapMemberO("[ACCOUNT].[H1].[PAY_PAT_DAYS]","","PAY_PAT_DAYS - Total Payor Patient Days","","000")</f>
        <v>PAY_PAT_DAYS - Total Payor Patient Days</v>
      </c>
      <c r="F5" s="233">
        <v>2697</v>
      </c>
      <c r="G5" s="233">
        <v>2663</v>
      </c>
      <c r="H5" s="233">
        <v>2777</v>
      </c>
      <c r="I5" s="233">
        <v>2901</v>
      </c>
      <c r="J5">
        <v>2783</v>
      </c>
      <c r="K5">
        <v>2718</v>
      </c>
      <c r="L5">
        <v>2585</v>
      </c>
      <c r="M5">
        <v>2682</v>
      </c>
      <c r="N5">
        <v>2842</v>
      </c>
      <c r="O5">
        <v>2914</v>
      </c>
      <c r="P5">
        <v>2845</v>
      </c>
      <c r="Q5">
        <v>2953</v>
      </c>
    </row>
    <row r="6" spans="1:17" x14ac:dyDescent="0.25">
      <c r="A6" s="29" t="str">
        <f>_xll.EVPRO("Finance",$C6,"Inv_Type")</f>
        <v>Inv_Equity</v>
      </c>
      <c r="B6" s="29" t="str">
        <f t="shared" si="0"/>
        <v>SHC of Whitesburg Gardens</v>
      </c>
      <c r="C6" s="29" t="str">
        <f t="shared" ref="C6:C69" si="1">IF($D6&lt;&gt;"",$D6,C5)</f>
        <v>S09132 - SHC of Whitesburg Gardens</v>
      </c>
      <c r="D6" s="31"/>
      <c r="E6" s="2" t="str">
        <f xml:space="preserve"> _xll.EPMOlapMemberO("[ACCOUNT].[H1].[A_BEDS_TOTAL]","","A_BEDS_TOTAL - Total Available Beds","","000")</f>
        <v>A_BEDS_TOTAL - Total Available Beds</v>
      </c>
      <c r="F6" s="233">
        <v>150</v>
      </c>
      <c r="G6" s="233">
        <v>150</v>
      </c>
      <c r="H6" s="233">
        <v>150</v>
      </c>
      <c r="I6" s="233">
        <v>150</v>
      </c>
      <c r="J6">
        <v>150</v>
      </c>
      <c r="K6">
        <v>150</v>
      </c>
      <c r="L6">
        <v>150</v>
      </c>
      <c r="M6">
        <v>150</v>
      </c>
      <c r="N6">
        <v>150</v>
      </c>
      <c r="O6">
        <v>150</v>
      </c>
      <c r="P6">
        <v>150</v>
      </c>
      <c r="Q6">
        <v>150</v>
      </c>
    </row>
    <row r="7" spans="1:17" x14ac:dyDescent="0.25">
      <c r="A7" s="29" t="str">
        <f>_xll.EVPRO("Finance",$C7,"Inv_Type")</f>
        <v>Inv_Equity</v>
      </c>
      <c r="B7" s="29" t="str">
        <f t="shared" si="0"/>
        <v>SHC of Whitesburg Gardens</v>
      </c>
      <c r="C7" s="29" t="str">
        <f t="shared" si="1"/>
        <v>S09132 - SHC of Whitesburg Gardens</v>
      </c>
      <c r="D7" s="31"/>
      <c r="E7" s="15" t="str">
        <f xml:space="preserve"> _xll.EPMOlapMemberO("[ACCOUNT].[H1].[T_REVENUES]","","T_REVENUES - Total Tenant Revenues","","000")</f>
        <v>T_REVENUES - Total Tenant Revenues</v>
      </c>
      <c r="F7" s="233">
        <v>963029</v>
      </c>
      <c r="G7" s="233">
        <v>887608</v>
      </c>
      <c r="H7" s="233">
        <v>1018716</v>
      </c>
      <c r="I7" s="233">
        <v>1976214</v>
      </c>
      <c r="J7">
        <v>872769</v>
      </c>
      <c r="K7">
        <v>1042231</v>
      </c>
      <c r="L7">
        <v>786518</v>
      </c>
      <c r="M7">
        <v>833734</v>
      </c>
      <c r="N7">
        <v>870956</v>
      </c>
      <c r="O7">
        <v>875399</v>
      </c>
      <c r="P7">
        <v>818576</v>
      </c>
      <c r="Q7">
        <v>913251</v>
      </c>
    </row>
    <row r="8" spans="1:17" x14ac:dyDescent="0.25">
      <c r="A8" s="29" t="str">
        <f>_xll.EVPRO("Finance",$C8,"Inv_Type")</f>
        <v>Inv_Equity</v>
      </c>
      <c r="B8" s="29" t="str">
        <f t="shared" si="0"/>
        <v>SHC of Whitesburg Gardens</v>
      </c>
      <c r="C8" s="29" t="str">
        <f t="shared" si="1"/>
        <v>S09132 - SHC of Whitesburg Gardens</v>
      </c>
      <c r="D8" s="31"/>
      <c r="E8" s="15" t="str">
        <f xml:space="preserve"> _xll.EPMOlapMemberO("[ACCOUNT].[H1].[T_OPEX]","","T_OPEX - Tenant Operating Expenses","","000")</f>
        <v>T_OPEX - Tenant Operating Expenses</v>
      </c>
      <c r="F8" s="233">
        <v>710363</v>
      </c>
      <c r="G8" s="233">
        <v>667844</v>
      </c>
      <c r="H8" s="233">
        <v>715006</v>
      </c>
      <c r="I8" s="233">
        <v>1017896</v>
      </c>
      <c r="J8">
        <v>770322</v>
      </c>
      <c r="K8">
        <v>745011</v>
      </c>
      <c r="L8">
        <v>645620</v>
      </c>
      <c r="M8">
        <v>712111</v>
      </c>
      <c r="N8">
        <v>695003</v>
      </c>
      <c r="O8">
        <v>688176</v>
      </c>
      <c r="P8">
        <v>688046</v>
      </c>
      <c r="Q8">
        <v>713670</v>
      </c>
    </row>
    <row r="9" spans="1:17" x14ac:dyDescent="0.25">
      <c r="A9" s="29" t="str">
        <f>_xll.EVPRO("Finance",$C9,"Inv_Type")</f>
        <v>Inv_Equity</v>
      </c>
      <c r="B9" s="29" t="str">
        <f t="shared" si="0"/>
        <v>SHC of Whitesburg Gardens</v>
      </c>
      <c r="C9" s="29" t="str">
        <f t="shared" si="1"/>
        <v>S09132 - SHC of Whitesburg Gardens</v>
      </c>
      <c r="D9" s="31"/>
      <c r="E9" s="2" t="str">
        <f xml:space="preserve"> _xll.EPMOlapMemberO("[ACCOUNT].[H1].[T_NON_OP_EXP]","","T_NON_OP_EXP - Tenant Non-Operating Expense","","000")</f>
        <v>T_NON_OP_EXP - Tenant Non-Operating Expense</v>
      </c>
      <c r="F9" s="233">
        <v>31099</v>
      </c>
      <c r="G9" s="233">
        <v>30960</v>
      </c>
      <c r="H9" s="233">
        <v>30525</v>
      </c>
      <c r="I9" s="233">
        <v>21453</v>
      </c>
      <c r="J9">
        <v>21980</v>
      </c>
      <c r="K9">
        <v>22280</v>
      </c>
      <c r="L9">
        <v>19427</v>
      </c>
      <c r="M9">
        <v>22375</v>
      </c>
      <c r="N9">
        <v>22472</v>
      </c>
      <c r="O9">
        <v>22573</v>
      </c>
      <c r="P9">
        <v>23517</v>
      </c>
      <c r="Q9">
        <v>19240</v>
      </c>
    </row>
    <row r="10" spans="1:17" x14ac:dyDescent="0.25">
      <c r="A10" s="29" t="str">
        <f>_xll.EVPRO("Finance",$C10,"Inv_Type")</f>
        <v>Inv_Equity</v>
      </c>
      <c r="B10" s="29" t="str">
        <f t="shared" si="0"/>
        <v>SHC of Whitesburg Gardens</v>
      </c>
      <c r="C10" s="29" t="str">
        <f t="shared" si="1"/>
        <v>S09132 - SHC of Whitesburg Gardens</v>
      </c>
      <c r="D10" s="31"/>
      <c r="E10" s="16" t="str">
        <f xml:space="preserve"> _xll.EPMOlapMemberO("[ACCOUNT].[H1].[T_BAD_DEBT]","","T_BAD_DEBT - Tenant Bad Debt Expense","","000")</f>
        <v>T_BAD_DEBT - Tenant Bad Debt Expense</v>
      </c>
      <c r="F10" s="233">
        <v>10310</v>
      </c>
      <c r="G10" s="233">
        <v>9625</v>
      </c>
      <c r="H10" s="233"/>
      <c r="I10" s="233">
        <v>14605</v>
      </c>
      <c r="J10">
        <v>15000</v>
      </c>
      <c r="K10">
        <v>14000</v>
      </c>
      <c r="M10">
        <v>14734</v>
      </c>
      <c r="N10">
        <v>15678</v>
      </c>
      <c r="O10">
        <v>72753</v>
      </c>
      <c r="P10">
        <v>11715</v>
      </c>
      <c r="Q10">
        <v>20170</v>
      </c>
    </row>
    <row r="11" spans="1:17" x14ac:dyDescent="0.25">
      <c r="A11" s="29" t="str">
        <f>_xll.EVPRO("Finance",$C11,"Inv_Type")</f>
        <v>Inv_Equity</v>
      </c>
      <c r="B11" s="29" t="str">
        <f t="shared" si="0"/>
        <v>SHC of Whitesburg Gardens</v>
      </c>
      <c r="C11" s="29" t="str">
        <f t="shared" si="1"/>
        <v>S09132 - SHC of Whitesburg Gardens</v>
      </c>
      <c r="D11" s="31"/>
      <c r="E11" s="3" t="str">
        <f xml:space="preserve"> _xll.EPMOlapMemberO("[ACCOUNT].[H1].[T_EBITDARM]","","T_EBITDARM - EBITDARM","","000")</f>
        <v>T_EBITDARM - EBITDARM</v>
      </c>
      <c r="F11" s="233">
        <v>252666</v>
      </c>
      <c r="G11" s="233">
        <v>219764</v>
      </c>
      <c r="H11" s="233">
        <v>303710</v>
      </c>
      <c r="I11" s="233">
        <v>958318</v>
      </c>
      <c r="J11">
        <v>102447</v>
      </c>
      <c r="K11">
        <v>297220</v>
      </c>
      <c r="L11">
        <v>140898</v>
      </c>
      <c r="M11">
        <v>121623</v>
      </c>
      <c r="N11">
        <v>175953</v>
      </c>
      <c r="O11">
        <v>187223</v>
      </c>
      <c r="P11">
        <v>130530</v>
      </c>
      <c r="Q11">
        <v>199581</v>
      </c>
    </row>
    <row r="12" spans="1:17" x14ac:dyDescent="0.25">
      <c r="A12" s="29" t="str">
        <f>_xll.EVPRO("Finance",$C12,"Inv_Type")</f>
        <v>Inv_Equity</v>
      </c>
      <c r="B12" s="29" t="str">
        <f t="shared" si="0"/>
        <v>SHC of Whitesburg Gardens</v>
      </c>
      <c r="C12" s="29" t="str">
        <f t="shared" si="1"/>
        <v>S09132 - SHC of Whitesburg Gardens</v>
      </c>
      <c r="D12" s="31"/>
      <c r="E12" s="3" t="str">
        <f xml:space="preserve"> _xll.EPMOlapMemberO("[ACCOUNT].[H1].[T_MGMT_FEE]","","T_MGMT_FEE - Tenant Management Fee - Actual","","000")</f>
        <v>T_MGMT_FEE - Tenant Management Fee - Actual</v>
      </c>
      <c r="F12" s="233">
        <v>47904</v>
      </c>
      <c r="G12" s="233">
        <v>44824</v>
      </c>
      <c r="H12" s="233">
        <v>51445</v>
      </c>
      <c r="I12" s="233">
        <v>102855</v>
      </c>
      <c r="J12">
        <v>44075</v>
      </c>
      <c r="K12">
        <v>52633</v>
      </c>
      <c r="L12">
        <v>39719</v>
      </c>
      <c r="M12">
        <v>42104</v>
      </c>
      <c r="N12">
        <v>43983</v>
      </c>
      <c r="O12">
        <v>44208</v>
      </c>
      <c r="P12">
        <v>41338</v>
      </c>
      <c r="Q12">
        <v>46119</v>
      </c>
    </row>
    <row r="13" spans="1:17" x14ac:dyDescent="0.25">
      <c r="A13" s="29" t="str">
        <f>_xll.EVPRO("Finance",$C13,"Inv_Type")</f>
        <v>Inv_Equity</v>
      </c>
      <c r="B13" s="29" t="str">
        <f t="shared" si="0"/>
        <v>SHC of Whitesburg Gardens</v>
      </c>
      <c r="C13" s="29" t="str">
        <f t="shared" si="1"/>
        <v>S09132 - SHC of Whitesburg Gardens</v>
      </c>
      <c r="D13" s="31"/>
      <c r="E13" s="2" t="str">
        <f xml:space="preserve"> _xll.EPMOlapMemberO("[ACCOUNT].[H1].[T_EBITDAR]","","T_EBITDAR - EBITDAR","","000")</f>
        <v>T_EBITDAR - EBITDAR</v>
      </c>
      <c r="F13" s="233">
        <v>204762</v>
      </c>
      <c r="G13" s="233">
        <v>174940</v>
      </c>
      <c r="H13" s="233">
        <v>252265</v>
      </c>
      <c r="I13" s="233">
        <v>855463</v>
      </c>
      <c r="J13">
        <v>58372</v>
      </c>
      <c r="K13">
        <v>244587</v>
      </c>
      <c r="L13">
        <v>101179</v>
      </c>
      <c r="M13">
        <v>79519</v>
      </c>
      <c r="N13">
        <v>131970</v>
      </c>
      <c r="O13">
        <v>143015</v>
      </c>
      <c r="P13">
        <v>89192</v>
      </c>
      <c r="Q13">
        <v>153462</v>
      </c>
    </row>
    <row r="14" spans="1:17" x14ac:dyDescent="0.25">
      <c r="A14" s="29" t="str">
        <f>_xll.EVPRO("Finance",$C14,"Inv_Type")</f>
        <v>Inv_Equity</v>
      </c>
      <c r="B14" s="29" t="str">
        <f t="shared" si="0"/>
        <v>SHC of Whitesburg Gardens</v>
      </c>
      <c r="C14" s="29" t="str">
        <f t="shared" si="1"/>
        <v>S09132 - SHC of Whitesburg Gardens</v>
      </c>
      <c r="D14" s="31"/>
      <c r="E14" s="2" t="str">
        <f xml:space="preserve"> _xll.EPMOlapMemberO("[ACCOUNT].[H1].[T_RENT_EXP]","","T_RENT_EXP - Tenant Rent Expense","","000")</f>
        <v>T_RENT_EXP - Tenant Rent Expense</v>
      </c>
      <c r="F14" s="233">
        <v>292155</v>
      </c>
      <c r="G14" s="233">
        <v>292155</v>
      </c>
      <c r="H14" s="233">
        <v>292155</v>
      </c>
      <c r="I14" s="233">
        <v>299459</v>
      </c>
      <c r="J14">
        <v>299459</v>
      </c>
      <c r="K14">
        <v>299459</v>
      </c>
      <c r="L14">
        <v>299459</v>
      </c>
      <c r="M14">
        <v>299459</v>
      </c>
      <c r="N14">
        <v>299459</v>
      </c>
      <c r="O14">
        <v>299459</v>
      </c>
      <c r="P14">
        <v>299459</v>
      </c>
      <c r="Q14">
        <v>299459</v>
      </c>
    </row>
    <row r="15" spans="1:17" x14ac:dyDescent="0.25">
      <c r="A15" s="29" t="str">
        <f>_xll.EVPRO("Finance",$C15,"Inv_Type")</f>
        <v>Inv_Equity</v>
      </c>
      <c r="B15" s="29" t="str">
        <f t="shared" si="0"/>
        <v>SHC of Terre Haute</v>
      </c>
      <c r="C15" s="29" t="str">
        <f t="shared" si="1"/>
        <v>S09133 - SHC of Terre Haute</v>
      </c>
      <c r="D15" s="31" t="str">
        <f xml:space="preserve"> _xll.EPMOlapMemberO("[ENTITY].[H1].[S09133]","","S09133 - SHC of Terre Haute","","000")</f>
        <v>S09133 - SHC of Terre Haute</v>
      </c>
      <c r="E15" s="31" t="str">
        <f xml:space="preserve"> _xll.EPMOlapMemberO("[ACCOUNT].[H1].[PAY_PAT_DAYS]","","PAY_PAT_DAYS - Total Payor Patient Days","","000")</f>
        <v>PAY_PAT_DAYS - Total Payor Patient Days</v>
      </c>
      <c r="F15" s="233">
        <v>4379</v>
      </c>
      <c r="G15" s="233">
        <v>4403</v>
      </c>
      <c r="H15" s="233">
        <v>3652</v>
      </c>
      <c r="I15" s="233">
        <v>3658</v>
      </c>
      <c r="J15">
        <v>3855</v>
      </c>
      <c r="K15">
        <v>3551</v>
      </c>
      <c r="L15">
        <v>3939</v>
      </c>
      <c r="M15">
        <v>4002</v>
      </c>
      <c r="N15">
        <v>4305</v>
      </c>
      <c r="O15">
        <v>4282</v>
      </c>
      <c r="P15">
        <v>4322</v>
      </c>
      <c r="Q15">
        <v>4320</v>
      </c>
    </row>
    <row r="16" spans="1:17" x14ac:dyDescent="0.25">
      <c r="A16" s="29" t="str">
        <f>_xll.EVPRO("Finance",$C16,"Inv_Type")</f>
        <v>Inv_Equity</v>
      </c>
      <c r="B16" s="29" t="str">
        <f t="shared" si="0"/>
        <v>SHC of Terre Haute</v>
      </c>
      <c r="C16" s="29" t="str">
        <f t="shared" si="1"/>
        <v>S09133 - SHC of Terre Haute</v>
      </c>
      <c r="D16" s="31"/>
      <c r="E16" s="2" t="str">
        <f xml:space="preserve"> _xll.EPMOlapMemberO("[ACCOUNT].[H1].[A_BEDS_TOTAL]","","A_BEDS_TOTAL - Total Available Beds","","000")</f>
        <v>A_BEDS_TOTAL - Total Available Beds</v>
      </c>
      <c r="F16" s="233">
        <v>176</v>
      </c>
      <c r="G16" s="233">
        <v>176</v>
      </c>
      <c r="H16" s="233">
        <v>176</v>
      </c>
      <c r="I16" s="233">
        <v>176</v>
      </c>
      <c r="J16">
        <v>176</v>
      </c>
      <c r="K16">
        <v>176</v>
      </c>
      <c r="L16">
        <v>176</v>
      </c>
      <c r="M16">
        <v>176</v>
      </c>
      <c r="N16">
        <v>176</v>
      </c>
      <c r="O16">
        <v>176</v>
      </c>
      <c r="P16">
        <v>176</v>
      </c>
      <c r="Q16">
        <v>176</v>
      </c>
    </row>
    <row r="17" spans="1:17" x14ac:dyDescent="0.25">
      <c r="A17" s="29" t="str">
        <f>_xll.EVPRO("Finance",$C17,"Inv_Type")</f>
        <v>Inv_Equity</v>
      </c>
      <c r="B17" s="29" t="str">
        <f t="shared" si="0"/>
        <v>SHC of Terre Haute</v>
      </c>
      <c r="C17" s="29" t="str">
        <f t="shared" si="1"/>
        <v>S09133 - SHC of Terre Haute</v>
      </c>
      <c r="D17" s="31"/>
      <c r="E17" s="15" t="str">
        <f xml:space="preserve"> _xll.EPMOlapMemberO("[ACCOUNT].[H1].[T_REVENUES]","","T_REVENUES - Total Tenant Revenues","","000")</f>
        <v>T_REVENUES - Total Tenant Revenues</v>
      </c>
      <c r="F17" s="233">
        <v>1628619</v>
      </c>
      <c r="G17" s="233">
        <v>1921757</v>
      </c>
      <c r="H17" s="233">
        <v>1849474</v>
      </c>
      <c r="I17" s="233">
        <v>940319</v>
      </c>
      <c r="J17">
        <v>1654301</v>
      </c>
      <c r="K17">
        <v>1646635</v>
      </c>
      <c r="L17">
        <v>1589568</v>
      </c>
      <c r="M17">
        <v>1363777</v>
      </c>
      <c r="N17">
        <v>1400528</v>
      </c>
      <c r="O17">
        <v>1314784</v>
      </c>
      <c r="P17">
        <v>1346287</v>
      </c>
      <c r="Q17">
        <v>1508097</v>
      </c>
    </row>
    <row r="18" spans="1:17" x14ac:dyDescent="0.25">
      <c r="A18" s="29" t="str">
        <f>_xll.EVPRO("Finance",$C18,"Inv_Type")</f>
        <v>Inv_Equity</v>
      </c>
      <c r="B18" s="29" t="str">
        <f t="shared" si="0"/>
        <v>SHC of Terre Haute</v>
      </c>
      <c r="C18" s="29" t="str">
        <f t="shared" si="1"/>
        <v>S09133 - SHC of Terre Haute</v>
      </c>
      <c r="D18" s="31"/>
      <c r="E18" s="15" t="str">
        <f xml:space="preserve"> _xll.EPMOlapMemberO("[ACCOUNT].[H1].[T_OPEX]","","T_OPEX - Tenant Operating Expenses","","000")</f>
        <v>T_OPEX - Tenant Operating Expenses</v>
      </c>
      <c r="F18" s="233">
        <v>1095069</v>
      </c>
      <c r="G18" s="233">
        <v>1249627</v>
      </c>
      <c r="H18" s="233">
        <v>1284727</v>
      </c>
      <c r="I18" s="233">
        <v>1051741</v>
      </c>
      <c r="J18">
        <v>1130712</v>
      </c>
      <c r="K18">
        <v>1140966</v>
      </c>
      <c r="L18">
        <v>1131538</v>
      </c>
      <c r="M18">
        <v>1122166</v>
      </c>
      <c r="N18">
        <v>1212596</v>
      </c>
      <c r="O18">
        <v>1200139</v>
      </c>
      <c r="P18">
        <v>1271381</v>
      </c>
      <c r="Q18">
        <v>1171979</v>
      </c>
    </row>
    <row r="19" spans="1:17" x14ac:dyDescent="0.25">
      <c r="A19" s="29" t="str">
        <f>_xll.EVPRO("Finance",$C19,"Inv_Type")</f>
        <v>Inv_Equity</v>
      </c>
      <c r="B19" s="29" t="str">
        <f t="shared" si="0"/>
        <v>SHC of Terre Haute</v>
      </c>
      <c r="C19" s="29" t="str">
        <f t="shared" si="1"/>
        <v>S09133 - SHC of Terre Haute</v>
      </c>
      <c r="D19" s="31"/>
      <c r="E19" s="2" t="str">
        <f xml:space="preserve"> _xll.EPMOlapMemberO("[ACCOUNT].[H1].[T_NON_OP_EXP]","","T_NON_OP_EXP - Tenant Non-Operating Expense","","000")</f>
        <v>T_NON_OP_EXP - Tenant Non-Operating Expense</v>
      </c>
      <c r="F19" s="233">
        <v>40813</v>
      </c>
      <c r="G19" s="233">
        <v>42273</v>
      </c>
      <c r="H19" s="233">
        <v>41427</v>
      </c>
      <c r="I19" s="233">
        <v>27303</v>
      </c>
      <c r="J19">
        <v>26709</v>
      </c>
      <c r="K19">
        <v>26969</v>
      </c>
      <c r="L19">
        <v>26659</v>
      </c>
      <c r="M19">
        <v>28329</v>
      </c>
      <c r="N19">
        <v>28611</v>
      </c>
      <c r="O19">
        <v>29212</v>
      </c>
      <c r="P19">
        <v>30702</v>
      </c>
      <c r="Q19">
        <v>28759</v>
      </c>
    </row>
    <row r="20" spans="1:17" x14ac:dyDescent="0.25">
      <c r="A20" s="29" t="str">
        <f>_xll.EVPRO("Finance",$C20,"Inv_Type")</f>
        <v>Inv_Equity</v>
      </c>
      <c r="B20" s="29" t="str">
        <f t="shared" si="0"/>
        <v>SHC of Terre Haute</v>
      </c>
      <c r="C20" s="29" t="str">
        <f t="shared" si="1"/>
        <v>S09133 - SHC of Terre Haute</v>
      </c>
      <c r="D20" s="31"/>
      <c r="E20" s="16" t="str">
        <f xml:space="preserve"> _xll.EPMOlapMemberO("[ACCOUNT].[H1].[T_BAD_DEBT]","","T_BAD_DEBT - Tenant Bad Debt Expense","","000")</f>
        <v>T_BAD_DEBT - Tenant Bad Debt Expense</v>
      </c>
      <c r="F20" s="233">
        <v>22809</v>
      </c>
      <c r="G20" s="233">
        <v>19403</v>
      </c>
      <c r="H20" s="233">
        <v>7000</v>
      </c>
      <c r="I20" s="233">
        <v>22361</v>
      </c>
      <c r="J20">
        <v>20858</v>
      </c>
      <c r="K20">
        <v>17000</v>
      </c>
      <c r="M20">
        <v>5000</v>
      </c>
      <c r="O20">
        <v>20000</v>
      </c>
      <c r="P20">
        <v>30000</v>
      </c>
      <c r="Q20">
        <v>15000</v>
      </c>
    </row>
    <row r="21" spans="1:17" x14ac:dyDescent="0.25">
      <c r="A21" s="29" t="str">
        <f>_xll.EVPRO("Finance",$C21,"Inv_Type")</f>
        <v>Inv_Equity</v>
      </c>
      <c r="B21" s="29" t="str">
        <f t="shared" si="0"/>
        <v>SHC of Terre Haute</v>
      </c>
      <c r="C21" s="29" t="str">
        <f t="shared" si="1"/>
        <v>S09133 - SHC of Terre Haute</v>
      </c>
      <c r="D21" s="31"/>
      <c r="E21" s="3" t="str">
        <f xml:space="preserve"> _xll.EPMOlapMemberO("[ACCOUNT].[H1].[T_EBITDARM]","","T_EBITDARM - EBITDARM","","000")</f>
        <v>T_EBITDARM - EBITDARM</v>
      </c>
      <c r="F21" s="233">
        <v>533550</v>
      </c>
      <c r="G21" s="233">
        <v>672130</v>
      </c>
      <c r="H21" s="233">
        <v>564747</v>
      </c>
      <c r="I21" s="233">
        <v>-111422</v>
      </c>
      <c r="J21">
        <v>523589</v>
      </c>
      <c r="K21">
        <v>505669</v>
      </c>
      <c r="L21">
        <v>458030</v>
      </c>
      <c r="M21">
        <v>241611</v>
      </c>
      <c r="N21">
        <v>187932</v>
      </c>
      <c r="O21">
        <v>114645</v>
      </c>
      <c r="P21">
        <v>74906</v>
      </c>
      <c r="Q21">
        <v>336118</v>
      </c>
    </row>
    <row r="22" spans="1:17" x14ac:dyDescent="0.25">
      <c r="A22" s="29" t="str">
        <f>_xll.EVPRO("Finance",$C22,"Inv_Type")</f>
        <v>Inv_Equity</v>
      </c>
      <c r="B22" s="29" t="str">
        <f t="shared" si="0"/>
        <v>SHC of Terre Haute</v>
      </c>
      <c r="C22" s="29" t="str">
        <f t="shared" si="1"/>
        <v>S09133 - SHC of Terre Haute</v>
      </c>
      <c r="D22" s="31"/>
      <c r="E22" s="3" t="str">
        <f xml:space="preserve"> _xll.EPMOlapMemberO("[ACCOUNT].[H1].[T_MGMT_FEE]","","T_MGMT_FEE - Tenant Management Fee - Actual","","000")</f>
        <v>T_MGMT_FEE - Tenant Management Fee - Actual</v>
      </c>
      <c r="F22" s="233">
        <v>81695</v>
      </c>
      <c r="G22" s="233">
        <v>97049</v>
      </c>
      <c r="H22" s="233">
        <v>93398</v>
      </c>
      <c r="I22" s="233">
        <v>47486</v>
      </c>
      <c r="J22">
        <v>83542</v>
      </c>
      <c r="K22">
        <v>83155</v>
      </c>
      <c r="L22">
        <v>80273</v>
      </c>
      <c r="M22">
        <v>68871</v>
      </c>
      <c r="N22">
        <v>70727</v>
      </c>
      <c r="O22">
        <v>66397</v>
      </c>
      <c r="P22">
        <v>67988</v>
      </c>
      <c r="Q22">
        <v>76159</v>
      </c>
    </row>
    <row r="23" spans="1:17" x14ac:dyDescent="0.25">
      <c r="A23" s="29" t="str">
        <f>_xll.EVPRO("Finance",$C23,"Inv_Type")</f>
        <v>Inv_Equity</v>
      </c>
      <c r="B23" s="29" t="str">
        <f t="shared" si="0"/>
        <v>SHC of Terre Haute</v>
      </c>
      <c r="C23" s="29" t="str">
        <f t="shared" si="1"/>
        <v>S09133 - SHC of Terre Haute</v>
      </c>
      <c r="D23" s="31"/>
      <c r="E23" s="2" t="str">
        <f xml:space="preserve"> _xll.EPMOlapMemberO("[ACCOUNT].[H1].[T_EBITDAR]","","T_EBITDAR - EBITDAR","","000")</f>
        <v>T_EBITDAR - EBITDAR</v>
      </c>
      <c r="F23" s="233">
        <v>451855</v>
      </c>
      <c r="G23" s="233">
        <v>575081</v>
      </c>
      <c r="H23" s="233">
        <v>471349</v>
      </c>
      <c r="I23" s="233">
        <v>-158908</v>
      </c>
      <c r="J23">
        <v>440047</v>
      </c>
      <c r="K23">
        <v>422514</v>
      </c>
      <c r="L23">
        <v>377757</v>
      </c>
      <c r="M23">
        <v>172740</v>
      </c>
      <c r="N23">
        <v>117205</v>
      </c>
      <c r="O23">
        <v>48248</v>
      </c>
      <c r="P23">
        <v>6918</v>
      </c>
      <c r="Q23">
        <v>259959</v>
      </c>
    </row>
    <row r="24" spans="1:17" x14ac:dyDescent="0.25">
      <c r="A24" s="29" t="str">
        <f>_xll.EVPRO("Finance",$C24,"Inv_Type")</f>
        <v>Inv_Equity</v>
      </c>
      <c r="B24" s="29" t="str">
        <f t="shared" si="0"/>
        <v>SHC of Terre Haute</v>
      </c>
      <c r="C24" s="29" t="str">
        <f t="shared" si="1"/>
        <v>S09133 - SHC of Terre Haute</v>
      </c>
      <c r="D24" s="31"/>
      <c r="E24" s="2" t="str">
        <f xml:space="preserve"> _xll.EPMOlapMemberO("[ACCOUNT].[H1].[T_RENT_EXP]","","T_RENT_EXP - Tenant Rent Expense","","000")</f>
        <v>T_RENT_EXP - Tenant Rent Expense</v>
      </c>
      <c r="F24" s="233">
        <v>465019</v>
      </c>
      <c r="G24" s="233">
        <v>465019</v>
      </c>
      <c r="H24" s="233">
        <v>465019</v>
      </c>
      <c r="I24" s="233">
        <v>476644</v>
      </c>
      <c r="J24">
        <v>476644</v>
      </c>
      <c r="K24">
        <v>476644</v>
      </c>
      <c r="L24">
        <v>476644</v>
      </c>
      <c r="M24">
        <v>476644</v>
      </c>
      <c r="N24">
        <v>476644</v>
      </c>
      <c r="O24">
        <v>476644</v>
      </c>
      <c r="P24">
        <v>476644</v>
      </c>
      <c r="Q24">
        <v>476644</v>
      </c>
    </row>
    <row r="25" spans="1:17" x14ac:dyDescent="0.25">
      <c r="A25" s="29" t="str">
        <f>_xll.EVPRO("Finance",$C25,"Inv_Type")</f>
        <v>Inv_Equity</v>
      </c>
      <c r="B25" s="29" t="str">
        <f t="shared" si="0"/>
        <v>SHC at Larkin Springs</v>
      </c>
      <c r="C25" s="29" t="str">
        <f t="shared" si="1"/>
        <v>S09134 - SHC at Larkin Springs</v>
      </c>
      <c r="D25" s="31" t="str">
        <f xml:space="preserve"> _xll.EPMOlapMemberO("[ENTITY].[H1].[S09134]","","S09134 - SHC at Larkin Springs","","000")</f>
        <v>S09134 - SHC at Larkin Springs</v>
      </c>
      <c r="E25" s="31" t="str">
        <f xml:space="preserve"> _xll.EPMOlapMemberO("[ACCOUNT].[H1].[PAY_PAT_DAYS]","","PAY_PAT_DAYS - Total Payor Patient Days","","000")</f>
        <v>PAY_PAT_DAYS - Total Payor Patient Days</v>
      </c>
      <c r="F25" s="233">
        <v>1440</v>
      </c>
      <c r="G25" s="233">
        <v>1702</v>
      </c>
      <c r="H25" s="233">
        <v>2074</v>
      </c>
      <c r="I25" s="233">
        <v>2093</v>
      </c>
      <c r="J25">
        <v>2282</v>
      </c>
      <c r="K25">
        <v>2044</v>
      </c>
      <c r="L25">
        <v>2393</v>
      </c>
      <c r="M25">
        <v>2363</v>
      </c>
      <c r="N25">
        <v>2388</v>
      </c>
      <c r="O25">
        <v>2193</v>
      </c>
      <c r="P25">
        <v>2279</v>
      </c>
      <c r="Q25">
        <v>2252</v>
      </c>
    </row>
    <row r="26" spans="1:17" x14ac:dyDescent="0.25">
      <c r="A26" s="29" t="str">
        <f>_xll.EVPRO("Finance",$C26,"Inv_Type")</f>
        <v>Inv_Equity</v>
      </c>
      <c r="B26" s="29" t="str">
        <f t="shared" si="0"/>
        <v>SHC at Larkin Springs</v>
      </c>
      <c r="C26" s="29" t="str">
        <f t="shared" si="1"/>
        <v>S09134 - SHC at Larkin Springs</v>
      </c>
      <c r="D26" s="31"/>
      <c r="E26" s="2" t="str">
        <f xml:space="preserve"> _xll.EPMOlapMemberO("[ACCOUNT].[H1].[A_BEDS_TOTAL]","","A_BEDS_TOTAL - Total Available Beds","","000")</f>
        <v>A_BEDS_TOTAL - Total Available Beds</v>
      </c>
      <c r="F26" s="233">
        <v>102</v>
      </c>
      <c r="G26" s="233">
        <v>102</v>
      </c>
      <c r="H26" s="233">
        <v>102</v>
      </c>
      <c r="I26" s="233">
        <v>102</v>
      </c>
      <c r="J26">
        <v>102</v>
      </c>
      <c r="K26">
        <v>102</v>
      </c>
      <c r="L26">
        <v>102</v>
      </c>
      <c r="M26">
        <v>102</v>
      </c>
      <c r="N26">
        <v>102</v>
      </c>
      <c r="O26">
        <v>102</v>
      </c>
      <c r="P26">
        <v>102</v>
      </c>
      <c r="Q26">
        <v>102</v>
      </c>
    </row>
    <row r="27" spans="1:17" x14ac:dyDescent="0.25">
      <c r="A27" s="29" t="str">
        <f>_xll.EVPRO("Finance",$C27,"Inv_Type")</f>
        <v>Inv_Equity</v>
      </c>
      <c r="B27" s="29" t="str">
        <f t="shared" si="0"/>
        <v>SHC at Larkin Springs</v>
      </c>
      <c r="C27" s="29" t="str">
        <f t="shared" si="1"/>
        <v>S09134 - SHC at Larkin Springs</v>
      </c>
      <c r="D27" s="31"/>
      <c r="E27" s="15" t="str">
        <f xml:space="preserve"> _xll.EPMOlapMemberO("[ACCOUNT].[H1].[T_REVENUES]","","T_REVENUES - Total Tenant Revenues","","000")</f>
        <v>T_REVENUES - Total Tenant Revenues</v>
      </c>
      <c r="F27" s="233">
        <v>506662</v>
      </c>
      <c r="G27" s="233">
        <v>633201</v>
      </c>
      <c r="H27" s="233">
        <v>695598</v>
      </c>
      <c r="I27" s="233">
        <v>837708</v>
      </c>
      <c r="J27">
        <v>608224</v>
      </c>
      <c r="K27">
        <v>621891</v>
      </c>
      <c r="L27">
        <v>734378</v>
      </c>
      <c r="M27">
        <v>793992</v>
      </c>
      <c r="N27">
        <v>706765</v>
      </c>
      <c r="O27">
        <v>649635</v>
      </c>
      <c r="P27">
        <v>658111</v>
      </c>
      <c r="Q27">
        <v>680903</v>
      </c>
    </row>
    <row r="28" spans="1:17" x14ac:dyDescent="0.25">
      <c r="A28" s="29" t="str">
        <f>_xll.EVPRO("Finance",$C28,"Inv_Type")</f>
        <v>Inv_Equity</v>
      </c>
      <c r="B28" s="29" t="str">
        <f t="shared" si="0"/>
        <v>SHC at Larkin Springs</v>
      </c>
      <c r="C28" s="29" t="str">
        <f t="shared" si="1"/>
        <v>S09134 - SHC at Larkin Springs</v>
      </c>
      <c r="D28" s="31"/>
      <c r="E28" s="15" t="str">
        <f xml:space="preserve"> _xll.EPMOlapMemberO("[ACCOUNT].[H1].[T_OPEX]","","T_OPEX - Tenant Operating Expenses","","000")</f>
        <v>T_OPEX - Tenant Operating Expenses</v>
      </c>
      <c r="F28" s="233">
        <v>497035</v>
      </c>
      <c r="G28" s="233">
        <v>503516</v>
      </c>
      <c r="H28" s="233">
        <v>538854</v>
      </c>
      <c r="I28" s="233">
        <v>707040</v>
      </c>
      <c r="J28">
        <v>672742</v>
      </c>
      <c r="K28">
        <v>726147</v>
      </c>
      <c r="L28">
        <v>874212</v>
      </c>
      <c r="M28">
        <v>876437</v>
      </c>
      <c r="N28">
        <v>729879</v>
      </c>
      <c r="O28">
        <v>733296</v>
      </c>
      <c r="P28">
        <v>718596</v>
      </c>
      <c r="Q28">
        <v>894078</v>
      </c>
    </row>
    <row r="29" spans="1:17" x14ac:dyDescent="0.25">
      <c r="A29" s="29" t="str">
        <f>_xll.EVPRO("Finance",$C29,"Inv_Type")</f>
        <v>Inv_Equity</v>
      </c>
      <c r="B29" s="29" t="str">
        <f t="shared" si="0"/>
        <v>SHC at Larkin Springs</v>
      </c>
      <c r="C29" s="29" t="str">
        <f t="shared" si="1"/>
        <v>S09134 - SHC at Larkin Springs</v>
      </c>
      <c r="D29" s="31"/>
      <c r="E29" s="2" t="str">
        <f xml:space="preserve"> _xll.EPMOlapMemberO("[ACCOUNT].[H1].[T_NON_OP_EXP]","","T_NON_OP_EXP - Tenant Non-Operating Expense","","000")</f>
        <v>T_NON_OP_EXP - Tenant Non-Operating Expense</v>
      </c>
      <c r="F29" s="233">
        <v>13353</v>
      </c>
      <c r="G29" s="233">
        <v>19052</v>
      </c>
      <c r="H29" s="233">
        <v>18952</v>
      </c>
      <c r="I29" s="233">
        <v>14728</v>
      </c>
      <c r="J29">
        <v>16967</v>
      </c>
      <c r="K29">
        <v>17109</v>
      </c>
      <c r="L29">
        <v>16766</v>
      </c>
      <c r="M29">
        <v>19778</v>
      </c>
      <c r="N29">
        <v>15930</v>
      </c>
      <c r="O29">
        <v>17930</v>
      </c>
      <c r="P29">
        <v>18987</v>
      </c>
      <c r="Q29">
        <v>18904</v>
      </c>
    </row>
    <row r="30" spans="1:17" x14ac:dyDescent="0.25">
      <c r="A30" s="29" t="str">
        <f>_xll.EVPRO("Finance",$C30,"Inv_Type")</f>
        <v>Inv_Equity</v>
      </c>
      <c r="B30" s="29" t="str">
        <f t="shared" si="0"/>
        <v>SHC at Larkin Springs</v>
      </c>
      <c r="C30" s="29" t="str">
        <f t="shared" si="1"/>
        <v>S09134 - SHC at Larkin Springs</v>
      </c>
      <c r="D30" s="31"/>
      <c r="E30" s="16" t="str">
        <f xml:space="preserve"> _xll.EPMOlapMemberO("[ACCOUNT].[H1].[T_BAD_DEBT]","","T_BAD_DEBT - Tenant Bad Debt Expense","","000")</f>
        <v>T_BAD_DEBT - Tenant Bad Debt Expense</v>
      </c>
      <c r="F30" s="233">
        <v>11724</v>
      </c>
      <c r="G30" s="233">
        <v>15717</v>
      </c>
      <c r="H30" s="233"/>
      <c r="I30" s="233">
        <v>8589</v>
      </c>
      <c r="J30">
        <v>10211</v>
      </c>
      <c r="K30">
        <v>10106</v>
      </c>
      <c r="P30">
        <v>7228</v>
      </c>
      <c r="Q30">
        <v>20106</v>
      </c>
    </row>
    <row r="31" spans="1:17" x14ac:dyDescent="0.25">
      <c r="A31" s="29" t="str">
        <f>_xll.EVPRO("Finance",$C31,"Inv_Type")</f>
        <v>Inv_Equity</v>
      </c>
      <c r="B31" s="29" t="str">
        <f t="shared" si="0"/>
        <v>SHC at Larkin Springs</v>
      </c>
      <c r="C31" s="29" t="str">
        <f t="shared" si="1"/>
        <v>S09134 - SHC at Larkin Springs</v>
      </c>
      <c r="D31" s="31"/>
      <c r="E31" s="3" t="str">
        <f xml:space="preserve"> _xll.EPMOlapMemberO("[ACCOUNT].[H1].[T_EBITDARM]","","T_EBITDARM - EBITDARM","","000")</f>
        <v>T_EBITDARM - EBITDARM</v>
      </c>
      <c r="F31" s="233">
        <v>9627</v>
      </c>
      <c r="G31" s="233">
        <v>129685</v>
      </c>
      <c r="H31" s="233">
        <v>156744</v>
      </c>
      <c r="I31" s="233">
        <v>130668</v>
      </c>
      <c r="J31">
        <v>-64518</v>
      </c>
      <c r="K31">
        <v>-104256</v>
      </c>
      <c r="L31">
        <v>-139834</v>
      </c>
      <c r="M31">
        <v>-82445</v>
      </c>
      <c r="N31">
        <v>-23114</v>
      </c>
      <c r="O31">
        <v>-83661</v>
      </c>
      <c r="P31">
        <v>-60485</v>
      </c>
      <c r="Q31">
        <v>-213175</v>
      </c>
    </row>
    <row r="32" spans="1:17" x14ac:dyDescent="0.25">
      <c r="A32" s="29" t="str">
        <f>_xll.EVPRO("Finance",$C32,"Inv_Type")</f>
        <v>Inv_Equity</v>
      </c>
      <c r="B32" s="29" t="str">
        <f t="shared" si="0"/>
        <v>SHC at Larkin Springs</v>
      </c>
      <c r="C32" s="29" t="str">
        <f t="shared" si="1"/>
        <v>S09134 - SHC at Larkin Springs</v>
      </c>
      <c r="D32" s="31"/>
      <c r="E32" s="3" t="str">
        <f xml:space="preserve"> _xll.EPMOlapMemberO("[ACCOUNT].[H1].[T_MGMT_FEE]","","T_MGMT_FEE - Tenant Management Fee - Actual","","000")</f>
        <v>T_MGMT_FEE - Tenant Management Fee - Actual</v>
      </c>
      <c r="F32" s="233">
        <v>24889</v>
      </c>
      <c r="G32" s="233">
        <v>31977</v>
      </c>
      <c r="H32" s="233">
        <v>35128</v>
      </c>
      <c r="I32" s="233">
        <v>44037</v>
      </c>
      <c r="J32">
        <v>30715</v>
      </c>
      <c r="K32">
        <v>31406</v>
      </c>
      <c r="L32">
        <v>37086</v>
      </c>
      <c r="M32">
        <v>40097</v>
      </c>
      <c r="N32">
        <v>35692</v>
      </c>
      <c r="O32">
        <v>32807</v>
      </c>
      <c r="P32">
        <v>33235</v>
      </c>
      <c r="Q32">
        <v>34386</v>
      </c>
    </row>
    <row r="33" spans="1:17" x14ac:dyDescent="0.25">
      <c r="A33" s="29" t="str">
        <f>_xll.EVPRO("Finance",$C33,"Inv_Type")</f>
        <v>Inv_Equity</v>
      </c>
      <c r="B33" s="29" t="str">
        <f t="shared" si="0"/>
        <v>SHC at Larkin Springs</v>
      </c>
      <c r="C33" s="29" t="str">
        <f t="shared" si="1"/>
        <v>S09134 - SHC at Larkin Springs</v>
      </c>
      <c r="D33" s="31"/>
      <c r="E33" s="2" t="str">
        <f xml:space="preserve"> _xll.EPMOlapMemberO("[ACCOUNT].[H1].[T_EBITDAR]","","T_EBITDAR - EBITDAR","","000")</f>
        <v>T_EBITDAR - EBITDAR</v>
      </c>
      <c r="F33" s="233">
        <v>-15262</v>
      </c>
      <c r="G33" s="233">
        <v>97708</v>
      </c>
      <c r="H33" s="233">
        <v>121616</v>
      </c>
      <c r="I33" s="233">
        <v>86631</v>
      </c>
      <c r="J33">
        <v>-95233</v>
      </c>
      <c r="K33">
        <v>-135662</v>
      </c>
      <c r="L33">
        <v>-176920</v>
      </c>
      <c r="M33">
        <v>-122542</v>
      </c>
      <c r="N33">
        <v>-58806</v>
      </c>
      <c r="O33">
        <v>-116468</v>
      </c>
      <c r="P33">
        <v>-93720</v>
      </c>
      <c r="Q33">
        <v>-247561</v>
      </c>
    </row>
    <row r="34" spans="1:17" x14ac:dyDescent="0.25">
      <c r="A34" s="29" t="str">
        <f>_xll.EVPRO("Finance",$C34,"Inv_Type")</f>
        <v>Inv_Equity</v>
      </c>
      <c r="B34" s="29" t="str">
        <f t="shared" si="0"/>
        <v>SHC at Larkin Springs</v>
      </c>
      <c r="C34" s="29" t="str">
        <f t="shared" si="1"/>
        <v>S09134 - SHC at Larkin Springs</v>
      </c>
      <c r="D34" s="31"/>
      <c r="E34" s="2" t="str">
        <f xml:space="preserve"> _xll.EPMOlapMemberO("[ACCOUNT].[H1].[T_RENT_EXP]","","T_RENT_EXP - Tenant Rent Expense","","000")</f>
        <v>T_RENT_EXP - Tenant Rent Expense</v>
      </c>
      <c r="F34" s="233">
        <v>83026</v>
      </c>
      <c r="G34" s="233">
        <v>83026</v>
      </c>
      <c r="H34" s="233">
        <v>83026</v>
      </c>
      <c r="I34" s="233">
        <v>85101</v>
      </c>
      <c r="J34">
        <v>85101</v>
      </c>
      <c r="K34">
        <v>85101</v>
      </c>
      <c r="L34">
        <v>85101</v>
      </c>
      <c r="M34">
        <v>85101</v>
      </c>
      <c r="N34">
        <v>85101</v>
      </c>
      <c r="O34">
        <v>85101</v>
      </c>
      <c r="P34">
        <v>85101</v>
      </c>
      <c r="Q34">
        <v>85101</v>
      </c>
    </row>
    <row r="35" spans="1:17" x14ac:dyDescent="0.25">
      <c r="A35" s="29" t="str">
        <f>_xll.EVPRO("Finance",$C35,"Inv_Type")</f>
        <v>Inv_Equity</v>
      </c>
      <c r="B35" s="29" t="str">
        <f t="shared" si="0"/>
        <v>SHC of Savannah</v>
      </c>
      <c r="C35" s="29" t="str">
        <f t="shared" si="1"/>
        <v>S09135 - SHC of Savannah</v>
      </c>
      <c r="D35" s="31" t="str">
        <f xml:space="preserve"> _xll.EPMOlapMemberO("[ENTITY].[H1].[S09135]","","S09135 - SHC of Savannah","","000")</f>
        <v>S09135 - SHC of Savannah</v>
      </c>
      <c r="E35" s="31" t="str">
        <f xml:space="preserve"> _xll.EPMOlapMemberO("[ACCOUNT].[H1].[PAY_PAT_DAYS]","","PAY_PAT_DAYS - Total Payor Patient Days","","000")</f>
        <v>PAY_PAT_DAYS - Total Payor Patient Days</v>
      </c>
      <c r="F35" s="233">
        <v>2947</v>
      </c>
      <c r="G35" s="233">
        <v>3046</v>
      </c>
      <c r="H35" s="233">
        <v>3040</v>
      </c>
      <c r="I35" s="233">
        <v>3101</v>
      </c>
      <c r="J35">
        <v>3217</v>
      </c>
      <c r="K35">
        <v>3037</v>
      </c>
      <c r="L35">
        <v>3209</v>
      </c>
      <c r="M35">
        <v>3077</v>
      </c>
      <c r="N35">
        <v>3263</v>
      </c>
      <c r="O35">
        <v>3243</v>
      </c>
      <c r="P35">
        <v>3297</v>
      </c>
      <c r="Q35">
        <v>3243</v>
      </c>
    </row>
    <row r="36" spans="1:17" x14ac:dyDescent="0.25">
      <c r="A36" s="29" t="str">
        <f>_xll.EVPRO("Finance",$C36,"Inv_Type")</f>
        <v>Inv_Equity</v>
      </c>
      <c r="B36" s="29" t="str">
        <f t="shared" si="0"/>
        <v>SHC of Savannah</v>
      </c>
      <c r="C36" s="29" t="str">
        <f t="shared" si="1"/>
        <v>S09135 - SHC of Savannah</v>
      </c>
      <c r="D36" s="31"/>
      <c r="E36" s="2" t="str">
        <f xml:space="preserve"> _xll.EPMOlapMemberO("[ACCOUNT].[H1].[A_BEDS_TOTAL]","","A_BEDS_TOTAL - Total Available Beds","","000")</f>
        <v>A_BEDS_TOTAL - Total Available Beds</v>
      </c>
      <c r="F36" s="233">
        <v>110</v>
      </c>
      <c r="G36" s="233">
        <v>110</v>
      </c>
      <c r="H36" s="233">
        <v>110</v>
      </c>
      <c r="I36" s="233">
        <v>110</v>
      </c>
      <c r="J36">
        <v>110</v>
      </c>
      <c r="K36">
        <v>110</v>
      </c>
      <c r="L36">
        <v>110</v>
      </c>
      <c r="M36">
        <v>110</v>
      </c>
      <c r="N36">
        <v>110</v>
      </c>
      <c r="O36">
        <v>110</v>
      </c>
      <c r="P36">
        <v>110</v>
      </c>
      <c r="Q36">
        <v>110</v>
      </c>
    </row>
    <row r="37" spans="1:17" x14ac:dyDescent="0.25">
      <c r="A37" s="29" t="str">
        <f>_xll.EVPRO("Finance",$C37,"Inv_Type")</f>
        <v>Inv_Equity</v>
      </c>
      <c r="B37" s="29" t="str">
        <f t="shared" si="0"/>
        <v>SHC of Savannah</v>
      </c>
      <c r="C37" s="29" t="str">
        <f t="shared" si="1"/>
        <v>S09135 - SHC of Savannah</v>
      </c>
      <c r="D37" s="31"/>
      <c r="E37" s="15" t="str">
        <f xml:space="preserve"> _xll.EPMOlapMemberO("[ACCOUNT].[H1].[T_REVENUES]","","T_REVENUES - Total Tenant Revenues","","000")</f>
        <v>T_REVENUES - Total Tenant Revenues</v>
      </c>
      <c r="F37" s="233">
        <v>798946</v>
      </c>
      <c r="G37" s="233">
        <v>756549</v>
      </c>
      <c r="H37" s="233">
        <v>816275</v>
      </c>
      <c r="I37" s="233">
        <v>1098473</v>
      </c>
      <c r="J37">
        <v>850276</v>
      </c>
      <c r="K37">
        <v>810230</v>
      </c>
      <c r="L37">
        <v>957130</v>
      </c>
      <c r="M37">
        <v>791860</v>
      </c>
      <c r="N37">
        <v>800646</v>
      </c>
      <c r="O37">
        <v>768604</v>
      </c>
      <c r="P37">
        <v>813469</v>
      </c>
      <c r="Q37">
        <v>900653</v>
      </c>
    </row>
    <row r="38" spans="1:17" x14ac:dyDescent="0.25">
      <c r="A38" s="29" t="str">
        <f>_xll.EVPRO("Finance",$C38,"Inv_Type")</f>
        <v>Inv_Equity</v>
      </c>
      <c r="B38" s="29" t="str">
        <f t="shared" si="0"/>
        <v>SHC of Savannah</v>
      </c>
      <c r="C38" s="29" t="str">
        <f t="shared" si="1"/>
        <v>S09135 - SHC of Savannah</v>
      </c>
      <c r="D38" s="31"/>
      <c r="E38" s="15" t="str">
        <f xml:space="preserve"> _xll.EPMOlapMemberO("[ACCOUNT].[H1].[T_OPEX]","","T_OPEX - Tenant Operating Expenses","","000")</f>
        <v>T_OPEX - Tenant Operating Expenses</v>
      </c>
      <c r="F38" s="233">
        <v>811483</v>
      </c>
      <c r="G38" s="233">
        <v>811272</v>
      </c>
      <c r="H38" s="233">
        <v>945169</v>
      </c>
      <c r="I38" s="233">
        <v>972295</v>
      </c>
      <c r="J38">
        <v>762430</v>
      </c>
      <c r="K38">
        <v>706547</v>
      </c>
      <c r="L38">
        <v>656676</v>
      </c>
      <c r="M38">
        <v>667699</v>
      </c>
      <c r="N38">
        <v>682574</v>
      </c>
      <c r="O38">
        <v>692096</v>
      </c>
      <c r="P38">
        <v>749635</v>
      </c>
      <c r="Q38">
        <v>806901</v>
      </c>
    </row>
    <row r="39" spans="1:17" x14ac:dyDescent="0.25">
      <c r="A39" s="29" t="str">
        <f>_xll.EVPRO("Finance",$C39,"Inv_Type")</f>
        <v>Inv_Equity</v>
      </c>
      <c r="B39" s="29" t="str">
        <f t="shared" si="0"/>
        <v>SHC of Savannah</v>
      </c>
      <c r="C39" s="29" t="str">
        <f t="shared" si="1"/>
        <v>S09135 - SHC of Savannah</v>
      </c>
      <c r="D39" s="31"/>
      <c r="E39" s="2" t="str">
        <f xml:space="preserve"> _xll.EPMOlapMemberO("[ACCOUNT].[H1].[T_NON_OP_EXP]","","T_NON_OP_EXP - Tenant Non-Operating Expense","","000")</f>
        <v>T_NON_OP_EXP - Tenant Non-Operating Expense</v>
      </c>
      <c r="F39" s="233">
        <v>12036</v>
      </c>
      <c r="G39" s="233">
        <v>12634</v>
      </c>
      <c r="H39" s="233">
        <v>12088</v>
      </c>
      <c r="I39" s="233">
        <v>11643</v>
      </c>
      <c r="J39">
        <v>12427</v>
      </c>
      <c r="K39">
        <v>13129</v>
      </c>
      <c r="L39">
        <v>12621</v>
      </c>
      <c r="M39">
        <v>13958</v>
      </c>
      <c r="N39">
        <v>13358</v>
      </c>
      <c r="O39">
        <v>14000</v>
      </c>
      <c r="P39">
        <v>14356</v>
      </c>
      <c r="Q39">
        <v>14634</v>
      </c>
    </row>
    <row r="40" spans="1:17" x14ac:dyDescent="0.25">
      <c r="A40" s="29" t="str">
        <f>_xll.EVPRO("Finance",$C40,"Inv_Type")</f>
        <v>Inv_Equity</v>
      </c>
      <c r="B40" s="29" t="str">
        <f t="shared" si="0"/>
        <v>SHC of Savannah</v>
      </c>
      <c r="C40" s="29" t="str">
        <f t="shared" si="1"/>
        <v>S09135 - SHC of Savannah</v>
      </c>
      <c r="D40" s="31"/>
      <c r="E40" s="16" t="str">
        <f xml:space="preserve"> _xll.EPMOlapMemberO("[ACCOUNT].[H1].[T_BAD_DEBT]","","T_BAD_DEBT - Tenant Bad Debt Expense","","000")</f>
        <v>T_BAD_DEBT - Tenant Bad Debt Expense</v>
      </c>
      <c r="F40" s="233">
        <v>79824</v>
      </c>
      <c r="G40" s="233">
        <v>31884</v>
      </c>
      <c r="H40" s="233">
        <v>27549</v>
      </c>
      <c r="I40" s="233">
        <v>42447</v>
      </c>
      <c r="J40">
        <v>28057</v>
      </c>
      <c r="K40">
        <v>28456</v>
      </c>
      <c r="P40">
        <v>10838</v>
      </c>
      <c r="Q40">
        <v>5000</v>
      </c>
    </row>
    <row r="41" spans="1:17" x14ac:dyDescent="0.25">
      <c r="A41" s="29" t="str">
        <f>_xll.EVPRO("Finance",$C41,"Inv_Type")</f>
        <v>Inv_Equity</v>
      </c>
      <c r="B41" s="29" t="str">
        <f t="shared" si="0"/>
        <v>SHC of Savannah</v>
      </c>
      <c r="C41" s="29" t="str">
        <f t="shared" si="1"/>
        <v>S09135 - SHC of Savannah</v>
      </c>
      <c r="D41" s="31"/>
      <c r="E41" s="3" t="str">
        <f xml:space="preserve"> _xll.EPMOlapMemberO("[ACCOUNT].[H1].[T_EBITDARM]","","T_EBITDARM - EBITDARM","","000")</f>
        <v>T_EBITDARM - EBITDARM</v>
      </c>
      <c r="F41" s="233">
        <v>-12537</v>
      </c>
      <c r="G41" s="233">
        <v>-54723</v>
      </c>
      <c r="H41" s="233">
        <v>-128894</v>
      </c>
      <c r="I41" s="233">
        <v>126178</v>
      </c>
      <c r="J41">
        <v>87846</v>
      </c>
      <c r="K41">
        <v>103683</v>
      </c>
      <c r="L41">
        <v>300454</v>
      </c>
      <c r="M41">
        <v>124161</v>
      </c>
      <c r="N41">
        <v>118072</v>
      </c>
      <c r="O41">
        <v>76508</v>
      </c>
      <c r="P41">
        <v>63834</v>
      </c>
      <c r="Q41">
        <v>93752</v>
      </c>
    </row>
    <row r="42" spans="1:17" x14ac:dyDescent="0.25">
      <c r="A42" s="29" t="str">
        <f>_xll.EVPRO("Finance",$C42,"Inv_Type")</f>
        <v>Inv_Equity</v>
      </c>
      <c r="B42" s="29" t="str">
        <f t="shared" si="0"/>
        <v>SHC of Savannah</v>
      </c>
      <c r="C42" s="29" t="str">
        <f t="shared" si="1"/>
        <v>S09135 - SHC of Savannah</v>
      </c>
      <c r="D42" s="31"/>
      <c r="E42" s="3" t="str">
        <f xml:space="preserve"> _xll.EPMOlapMemberO("[ACCOUNT].[H1].[T_MGMT_FEE]","","T_MGMT_FEE - Tenant Management Fee - Actual","","000")</f>
        <v>T_MGMT_FEE - Tenant Management Fee - Actual</v>
      </c>
      <c r="F42" s="233">
        <v>40209</v>
      </c>
      <c r="G42" s="233">
        <v>38206</v>
      </c>
      <c r="H42" s="233">
        <v>41222</v>
      </c>
      <c r="I42" s="233">
        <v>56349</v>
      </c>
      <c r="J42">
        <v>42939</v>
      </c>
      <c r="K42">
        <v>40917</v>
      </c>
      <c r="L42">
        <v>48335</v>
      </c>
      <c r="M42">
        <v>39989</v>
      </c>
      <c r="N42">
        <v>40433</v>
      </c>
      <c r="O42">
        <v>38815</v>
      </c>
      <c r="P42">
        <v>41080</v>
      </c>
      <c r="Q42">
        <v>45483</v>
      </c>
    </row>
    <row r="43" spans="1:17" x14ac:dyDescent="0.25">
      <c r="A43" s="29" t="str">
        <f>_xll.EVPRO("Finance",$C43,"Inv_Type")</f>
        <v>Inv_Equity</v>
      </c>
      <c r="B43" s="29" t="str">
        <f t="shared" si="0"/>
        <v>SHC of Savannah</v>
      </c>
      <c r="C43" s="29" t="str">
        <f t="shared" si="1"/>
        <v>S09135 - SHC of Savannah</v>
      </c>
      <c r="D43" s="31"/>
      <c r="E43" s="2" t="str">
        <f xml:space="preserve"> _xll.EPMOlapMemberO("[ACCOUNT].[H1].[T_EBITDAR]","","T_EBITDAR - EBITDAR","","000")</f>
        <v>T_EBITDAR - EBITDAR</v>
      </c>
      <c r="F43" s="233">
        <v>-52746</v>
      </c>
      <c r="G43" s="233">
        <v>-92929</v>
      </c>
      <c r="H43" s="233">
        <v>-170116</v>
      </c>
      <c r="I43" s="233">
        <v>69829</v>
      </c>
      <c r="J43">
        <v>44907</v>
      </c>
      <c r="K43">
        <v>62766</v>
      </c>
      <c r="L43">
        <v>252119</v>
      </c>
      <c r="M43">
        <v>84172</v>
      </c>
      <c r="N43">
        <v>77639</v>
      </c>
      <c r="O43">
        <v>37693</v>
      </c>
      <c r="P43">
        <v>22754</v>
      </c>
      <c r="Q43">
        <v>48269</v>
      </c>
    </row>
    <row r="44" spans="1:17" x14ac:dyDescent="0.25">
      <c r="A44" s="29" t="str">
        <f>_xll.EVPRO("Finance",$C44,"Inv_Type")</f>
        <v>Inv_Equity</v>
      </c>
      <c r="B44" s="29" t="str">
        <f t="shared" si="0"/>
        <v>SHC of Savannah</v>
      </c>
      <c r="C44" s="29" t="str">
        <f t="shared" si="1"/>
        <v>S09135 - SHC of Savannah</v>
      </c>
      <c r="D44" s="31"/>
      <c r="E44" s="2" t="str">
        <f xml:space="preserve"> _xll.EPMOlapMemberO("[ACCOUNT].[H1].[T_RENT_EXP]","","T_RENT_EXP - Tenant Rent Expense","","000")</f>
        <v>T_RENT_EXP - Tenant Rent Expense</v>
      </c>
      <c r="F44" s="233">
        <v>5253</v>
      </c>
      <c r="G44" s="233">
        <v>5253</v>
      </c>
      <c r="H44" s="233">
        <v>5253</v>
      </c>
      <c r="I44" s="233">
        <v>5384</v>
      </c>
      <c r="J44">
        <v>5384</v>
      </c>
      <c r="K44">
        <v>5384</v>
      </c>
      <c r="L44">
        <v>5384</v>
      </c>
      <c r="M44">
        <v>5384</v>
      </c>
      <c r="N44">
        <v>5384</v>
      </c>
      <c r="O44">
        <v>5384</v>
      </c>
      <c r="P44">
        <v>5384</v>
      </c>
      <c r="Q44">
        <v>5384</v>
      </c>
    </row>
    <row r="45" spans="1:17" x14ac:dyDescent="0.25">
      <c r="A45" s="29" t="str">
        <f>_xll.EVPRO("Finance",$C45,"Inv_Type")</f>
        <v>Inv_Equity</v>
      </c>
      <c r="B45" s="29" t="str">
        <f t="shared" si="0"/>
        <v>SHC of Bowling Green</v>
      </c>
      <c r="C45" s="29" t="str">
        <f t="shared" si="1"/>
        <v>S09137 - SHC of Bowling Green</v>
      </c>
      <c r="D45" s="31" t="str">
        <f xml:space="preserve"> _xll.EPMOlapMemberO("[ENTITY].[H1].[S09137]","","S09137 - SHC of Bowling Green","","000")</f>
        <v>S09137 - SHC of Bowling Green</v>
      </c>
      <c r="E45" s="31" t="str">
        <f xml:space="preserve"> _xll.EPMOlapMemberO("[ACCOUNT].[H1].[PAY_PAT_DAYS]","","PAY_PAT_DAYS - Total Payor Patient Days","","000")</f>
        <v>PAY_PAT_DAYS - Total Payor Patient Days</v>
      </c>
      <c r="F45" s="233">
        <v>4248</v>
      </c>
      <c r="G45" s="233">
        <v>4188</v>
      </c>
      <c r="H45" s="233">
        <v>3541</v>
      </c>
      <c r="I45" s="233">
        <v>3558</v>
      </c>
      <c r="J45">
        <v>4046</v>
      </c>
      <c r="K45">
        <v>3687</v>
      </c>
      <c r="L45">
        <v>3965</v>
      </c>
      <c r="M45">
        <v>3964</v>
      </c>
      <c r="N45">
        <v>4032</v>
      </c>
      <c r="O45">
        <v>3834</v>
      </c>
      <c r="P45">
        <v>4094</v>
      </c>
      <c r="Q45">
        <v>4080</v>
      </c>
    </row>
    <row r="46" spans="1:17" x14ac:dyDescent="0.25">
      <c r="A46" s="29" t="str">
        <f>_xll.EVPRO("Finance",$C46,"Inv_Type")</f>
        <v>Inv_Equity</v>
      </c>
      <c r="B46" s="29" t="str">
        <f t="shared" si="0"/>
        <v>SHC of Bowling Green</v>
      </c>
      <c r="C46" s="29" t="str">
        <f t="shared" si="1"/>
        <v>S09137 - SHC of Bowling Green</v>
      </c>
      <c r="D46" s="31"/>
      <c r="E46" s="2" t="str">
        <f xml:space="preserve"> _xll.EPMOlapMemberO("[ACCOUNT].[H1].[A_BEDS_TOTAL]","","A_BEDS_TOTAL - Total Available Beds","","000")</f>
        <v>A_BEDS_TOTAL - Total Available Beds</v>
      </c>
      <c r="F46" s="233">
        <v>155</v>
      </c>
      <c r="G46" s="233">
        <v>155</v>
      </c>
      <c r="H46" s="233">
        <v>155</v>
      </c>
      <c r="I46" s="233">
        <v>155</v>
      </c>
      <c r="J46">
        <v>155</v>
      </c>
      <c r="K46">
        <v>155</v>
      </c>
      <c r="L46">
        <v>155</v>
      </c>
      <c r="M46">
        <v>155</v>
      </c>
      <c r="N46">
        <v>155</v>
      </c>
      <c r="O46">
        <v>155</v>
      </c>
      <c r="P46">
        <v>155</v>
      </c>
      <c r="Q46">
        <v>155</v>
      </c>
    </row>
    <row r="47" spans="1:17" x14ac:dyDescent="0.25">
      <c r="A47" s="29" t="str">
        <f>_xll.EVPRO("Finance",$C47,"Inv_Type")</f>
        <v>Inv_Equity</v>
      </c>
      <c r="B47" s="29" t="str">
        <f t="shared" si="0"/>
        <v>SHC of Bowling Green</v>
      </c>
      <c r="C47" s="29" t="str">
        <f t="shared" si="1"/>
        <v>S09137 - SHC of Bowling Green</v>
      </c>
      <c r="D47" s="31"/>
      <c r="E47" s="15" t="str">
        <f xml:space="preserve"> _xll.EPMOlapMemberO("[ACCOUNT].[H1].[T_REVENUES]","","T_REVENUES - Total Tenant Revenues","","000")</f>
        <v>T_REVENUES - Total Tenant Revenues</v>
      </c>
      <c r="F47" s="233">
        <v>1151594</v>
      </c>
      <c r="G47" s="233">
        <v>1306529</v>
      </c>
      <c r="H47" s="233">
        <v>1505371</v>
      </c>
      <c r="I47" s="233">
        <v>839030</v>
      </c>
      <c r="J47">
        <v>1278797</v>
      </c>
      <c r="K47">
        <v>1135608</v>
      </c>
      <c r="L47">
        <v>1358526</v>
      </c>
      <c r="M47">
        <v>1173316</v>
      </c>
      <c r="N47">
        <v>1123172</v>
      </c>
      <c r="O47">
        <v>1080266</v>
      </c>
      <c r="P47">
        <v>1178961</v>
      </c>
      <c r="Q47">
        <v>1203697</v>
      </c>
    </row>
    <row r="48" spans="1:17" x14ac:dyDescent="0.25">
      <c r="A48" s="29" t="str">
        <f>_xll.EVPRO("Finance",$C48,"Inv_Type")</f>
        <v>Inv_Equity</v>
      </c>
      <c r="B48" s="29" t="str">
        <f t="shared" si="0"/>
        <v>SHC of Bowling Green</v>
      </c>
      <c r="C48" s="29" t="str">
        <f t="shared" si="1"/>
        <v>S09137 - SHC of Bowling Green</v>
      </c>
      <c r="D48" s="31"/>
      <c r="E48" s="15" t="str">
        <f xml:space="preserve"> _xll.EPMOlapMemberO("[ACCOUNT].[H1].[T_OPEX]","","T_OPEX - Tenant Operating Expenses","","000")</f>
        <v>T_OPEX - Tenant Operating Expenses</v>
      </c>
      <c r="F48" s="233">
        <v>857139</v>
      </c>
      <c r="G48" s="233">
        <v>916654</v>
      </c>
      <c r="H48" s="233">
        <v>1098206</v>
      </c>
      <c r="I48" s="233">
        <v>1329619</v>
      </c>
      <c r="J48">
        <v>938921</v>
      </c>
      <c r="K48">
        <v>874596</v>
      </c>
      <c r="L48">
        <v>917242</v>
      </c>
      <c r="M48">
        <v>854117</v>
      </c>
      <c r="N48">
        <v>872930</v>
      </c>
      <c r="O48">
        <v>865740</v>
      </c>
      <c r="P48">
        <v>843850</v>
      </c>
      <c r="Q48">
        <v>938822</v>
      </c>
    </row>
    <row r="49" spans="1:17" x14ac:dyDescent="0.25">
      <c r="A49" s="29" t="str">
        <f>_xll.EVPRO("Finance",$C49,"Inv_Type")</f>
        <v>Inv_Equity</v>
      </c>
      <c r="B49" s="29" t="str">
        <f t="shared" si="0"/>
        <v>SHC of Bowling Green</v>
      </c>
      <c r="C49" s="29" t="str">
        <f t="shared" si="1"/>
        <v>S09137 - SHC of Bowling Green</v>
      </c>
      <c r="D49" s="31"/>
      <c r="E49" s="2" t="str">
        <f xml:space="preserve"> _xll.EPMOlapMemberO("[ACCOUNT].[H1].[T_NON_OP_EXP]","","T_NON_OP_EXP - Tenant Non-Operating Expense","","000")</f>
        <v>T_NON_OP_EXP - Tenant Non-Operating Expense</v>
      </c>
      <c r="F49" s="233">
        <v>19793</v>
      </c>
      <c r="G49" s="233">
        <v>21819</v>
      </c>
      <c r="H49" s="233">
        <v>21220</v>
      </c>
      <c r="I49" s="233">
        <v>13155</v>
      </c>
      <c r="J49">
        <v>14464</v>
      </c>
      <c r="K49">
        <v>15020</v>
      </c>
      <c r="L49">
        <v>13991</v>
      </c>
      <c r="M49">
        <v>16292</v>
      </c>
      <c r="N49">
        <v>14413</v>
      </c>
      <c r="O49">
        <v>15782</v>
      </c>
      <c r="P49">
        <v>17244</v>
      </c>
      <c r="Q49">
        <v>18795</v>
      </c>
    </row>
    <row r="50" spans="1:17" x14ac:dyDescent="0.25">
      <c r="A50" s="29" t="str">
        <f>_xll.EVPRO("Finance",$C50,"Inv_Type")</f>
        <v>Inv_Equity</v>
      </c>
      <c r="B50" s="29" t="str">
        <f t="shared" si="0"/>
        <v>SHC of Bowling Green</v>
      </c>
      <c r="C50" s="29" t="str">
        <f t="shared" si="1"/>
        <v>S09137 - SHC of Bowling Green</v>
      </c>
      <c r="D50" s="31"/>
      <c r="E50" s="16" t="str">
        <f xml:space="preserve"> _xll.EPMOlapMemberO("[ACCOUNT].[H1].[T_BAD_DEBT]","","T_BAD_DEBT - Tenant Bad Debt Expense","","000")</f>
        <v>T_BAD_DEBT - Tenant Bad Debt Expense</v>
      </c>
      <c r="F50" s="233">
        <v>15000</v>
      </c>
      <c r="G50" s="233">
        <v>21171</v>
      </c>
      <c r="H50" s="233">
        <v>22500</v>
      </c>
      <c r="I50" s="233">
        <v>33033</v>
      </c>
      <c r="J50">
        <v>12500</v>
      </c>
      <c r="K50">
        <v>10000</v>
      </c>
      <c r="Q50">
        <v>10000</v>
      </c>
    </row>
    <row r="51" spans="1:17" x14ac:dyDescent="0.25">
      <c r="A51" s="29" t="str">
        <f>_xll.EVPRO("Finance",$C51,"Inv_Type")</f>
        <v>Inv_Equity</v>
      </c>
      <c r="B51" s="29" t="str">
        <f t="shared" si="0"/>
        <v>SHC of Bowling Green</v>
      </c>
      <c r="C51" s="29" t="str">
        <f t="shared" si="1"/>
        <v>S09137 - SHC of Bowling Green</v>
      </c>
      <c r="D51" s="31"/>
      <c r="E51" s="3" t="str">
        <f xml:space="preserve"> _xll.EPMOlapMemberO("[ACCOUNT].[H1].[T_EBITDARM]","","T_EBITDARM - EBITDARM","","000")</f>
        <v>T_EBITDARM - EBITDARM</v>
      </c>
      <c r="F51" s="233">
        <v>294455</v>
      </c>
      <c r="G51" s="233">
        <v>389875</v>
      </c>
      <c r="H51" s="233">
        <v>407165</v>
      </c>
      <c r="I51" s="233">
        <v>-490589</v>
      </c>
      <c r="J51">
        <v>339876</v>
      </c>
      <c r="K51">
        <v>261012</v>
      </c>
      <c r="L51">
        <v>441284</v>
      </c>
      <c r="M51">
        <v>319199</v>
      </c>
      <c r="N51">
        <v>250242</v>
      </c>
      <c r="O51">
        <v>214526</v>
      </c>
      <c r="P51">
        <v>335111</v>
      </c>
      <c r="Q51">
        <v>264875</v>
      </c>
    </row>
    <row r="52" spans="1:17" x14ac:dyDescent="0.25">
      <c r="A52" s="29" t="str">
        <f>_xll.EVPRO("Finance",$C52,"Inv_Type")</f>
        <v>Inv_Equity</v>
      </c>
      <c r="B52" s="29" t="str">
        <f t="shared" si="0"/>
        <v>SHC of Bowling Green</v>
      </c>
      <c r="C52" s="29" t="str">
        <f t="shared" si="1"/>
        <v>S09137 - SHC of Bowling Green</v>
      </c>
      <c r="D52" s="31"/>
      <c r="E52" s="3" t="str">
        <f xml:space="preserve"> _xll.EPMOlapMemberO("[ACCOUNT].[H1].[T_MGMT_FEE]","","T_MGMT_FEE - Tenant Management Fee - Actual","","000")</f>
        <v>T_MGMT_FEE - Tenant Management Fee - Actual</v>
      </c>
      <c r="F52" s="233">
        <v>58156</v>
      </c>
      <c r="G52" s="233">
        <v>65980</v>
      </c>
      <c r="H52" s="233">
        <v>76021</v>
      </c>
      <c r="I52" s="233">
        <v>42371</v>
      </c>
      <c r="J52">
        <v>64579</v>
      </c>
      <c r="K52">
        <v>57348</v>
      </c>
      <c r="L52">
        <v>68606</v>
      </c>
      <c r="M52">
        <v>59252</v>
      </c>
      <c r="N52">
        <v>56720</v>
      </c>
      <c r="O52">
        <v>54553</v>
      </c>
      <c r="P52">
        <v>59538</v>
      </c>
      <c r="Q52">
        <v>60787</v>
      </c>
    </row>
    <row r="53" spans="1:17" x14ac:dyDescent="0.25">
      <c r="A53" s="29" t="str">
        <f>_xll.EVPRO("Finance",$C53,"Inv_Type")</f>
        <v>Inv_Equity</v>
      </c>
      <c r="B53" s="29" t="str">
        <f t="shared" si="0"/>
        <v>SHC of Bowling Green</v>
      </c>
      <c r="C53" s="29" t="str">
        <f t="shared" si="1"/>
        <v>S09137 - SHC of Bowling Green</v>
      </c>
      <c r="D53" s="31"/>
      <c r="E53" s="2" t="str">
        <f xml:space="preserve"> _xll.EPMOlapMemberO("[ACCOUNT].[H1].[T_EBITDAR]","","T_EBITDAR - EBITDAR","","000")</f>
        <v>T_EBITDAR - EBITDAR</v>
      </c>
      <c r="F53" s="233">
        <v>236299</v>
      </c>
      <c r="G53" s="233">
        <v>323895</v>
      </c>
      <c r="H53" s="233">
        <v>331144</v>
      </c>
      <c r="I53" s="233">
        <v>-532960</v>
      </c>
      <c r="J53">
        <v>275297</v>
      </c>
      <c r="K53">
        <v>203664</v>
      </c>
      <c r="L53">
        <v>372678</v>
      </c>
      <c r="M53">
        <v>259947</v>
      </c>
      <c r="N53">
        <v>193522</v>
      </c>
      <c r="O53">
        <v>159973</v>
      </c>
      <c r="P53">
        <v>275573</v>
      </c>
      <c r="Q53">
        <v>204088</v>
      </c>
    </row>
    <row r="54" spans="1:17" x14ac:dyDescent="0.25">
      <c r="A54" s="29" t="str">
        <f>_xll.EVPRO("Finance",$C54,"Inv_Type")</f>
        <v>Inv_Equity</v>
      </c>
      <c r="B54" s="29" t="str">
        <f t="shared" si="0"/>
        <v>SHC of Bowling Green</v>
      </c>
      <c r="C54" s="29" t="str">
        <f t="shared" si="1"/>
        <v>S09137 - SHC of Bowling Green</v>
      </c>
      <c r="D54" s="31"/>
      <c r="E54" s="2" t="str">
        <f xml:space="preserve"> _xll.EPMOlapMemberO("[ACCOUNT].[H1].[T_RENT_EXP]","","T_RENT_EXP - Tenant Rent Expense","","000")</f>
        <v>T_RENT_EXP - Tenant Rent Expense</v>
      </c>
      <c r="F54" s="233">
        <v>224014</v>
      </c>
      <c r="G54" s="233">
        <v>224014</v>
      </c>
      <c r="H54" s="233">
        <v>224014</v>
      </c>
      <c r="I54" s="233">
        <v>229614</v>
      </c>
      <c r="J54">
        <v>229614</v>
      </c>
      <c r="K54">
        <v>229614</v>
      </c>
      <c r="L54">
        <v>229614</v>
      </c>
      <c r="M54">
        <v>229614</v>
      </c>
      <c r="N54">
        <v>229614</v>
      </c>
      <c r="O54">
        <v>229614</v>
      </c>
      <c r="P54">
        <v>229614</v>
      </c>
      <c r="Q54">
        <v>229614</v>
      </c>
    </row>
    <row r="55" spans="1:17" x14ac:dyDescent="0.25">
      <c r="A55" s="29" t="str">
        <f>_xll.EVPRO("Finance",$C55,"Inv_Type")</f>
        <v>Inv_Equity</v>
      </c>
      <c r="B55" s="29" t="str">
        <f t="shared" si="0"/>
        <v>Oakview Nursing and Rehabilitation Center</v>
      </c>
      <c r="C55" s="29" t="str">
        <f t="shared" si="1"/>
        <v>S09138 - Oakview Nursing and Rehabilitation Center</v>
      </c>
      <c r="D55" s="31" t="str">
        <f xml:space="preserve"> _xll.EPMOlapMemberO("[ENTITY].[H1].[S09138]","","S09138 - Oakview Nursing and Rehabilitation Center","","000")</f>
        <v>S09138 - Oakview Nursing and Rehabilitation Center</v>
      </c>
      <c r="E55" s="31" t="str">
        <f xml:space="preserve"> _xll.EPMOlapMemberO("[ACCOUNT].[H1].[PAY_PAT_DAYS]","","PAY_PAT_DAYS - Total Payor Patient Days","","000")</f>
        <v>PAY_PAT_DAYS - Total Payor Patient Days</v>
      </c>
      <c r="F55" s="233">
        <v>2162</v>
      </c>
      <c r="G55" s="233">
        <v>2181</v>
      </c>
      <c r="H55" s="233">
        <v>2056</v>
      </c>
      <c r="I55" s="233">
        <v>2028</v>
      </c>
      <c r="J55">
        <v>2114</v>
      </c>
      <c r="K55">
        <v>1914</v>
      </c>
      <c r="L55">
        <v>2043</v>
      </c>
      <c r="M55">
        <v>2019</v>
      </c>
      <c r="N55">
        <v>2086</v>
      </c>
      <c r="O55">
        <v>2067</v>
      </c>
      <c r="P55">
        <v>2144</v>
      </c>
      <c r="Q55">
        <v>2034</v>
      </c>
    </row>
    <row r="56" spans="1:17" x14ac:dyDescent="0.25">
      <c r="A56" s="29" t="str">
        <f>_xll.EVPRO("Finance",$C56,"Inv_Type")</f>
        <v>Inv_Equity</v>
      </c>
      <c r="B56" s="29" t="str">
        <f t="shared" si="0"/>
        <v>Oakview Nursing and Rehabilitation Center</v>
      </c>
      <c r="C56" s="29" t="str">
        <f t="shared" si="1"/>
        <v>S09138 - Oakview Nursing and Rehabilitation Center</v>
      </c>
      <c r="D56" s="31"/>
      <c r="E56" s="2" t="str">
        <f xml:space="preserve"> _xll.EPMOlapMemberO("[ACCOUNT].[H1].[A_BEDS_TOTAL]","","A_BEDS_TOTAL - Total Available Beds","","000")</f>
        <v>A_BEDS_TOTAL - Total Available Beds</v>
      </c>
      <c r="F56" s="233">
        <v>98</v>
      </c>
      <c r="G56" s="233">
        <v>98</v>
      </c>
      <c r="H56" s="233">
        <v>98</v>
      </c>
      <c r="I56" s="233">
        <v>98</v>
      </c>
      <c r="J56">
        <v>98</v>
      </c>
      <c r="K56">
        <v>98</v>
      </c>
      <c r="L56">
        <v>98</v>
      </c>
      <c r="M56">
        <v>98</v>
      </c>
      <c r="N56">
        <v>98</v>
      </c>
      <c r="O56">
        <v>98</v>
      </c>
      <c r="P56">
        <v>98</v>
      </c>
      <c r="Q56">
        <v>98</v>
      </c>
    </row>
    <row r="57" spans="1:17" x14ac:dyDescent="0.25">
      <c r="A57" s="29" t="str">
        <f>_xll.EVPRO("Finance",$C57,"Inv_Type")</f>
        <v>Inv_Equity</v>
      </c>
      <c r="B57" s="29" t="str">
        <f t="shared" si="0"/>
        <v>Oakview Nursing and Rehabilitation Center</v>
      </c>
      <c r="C57" s="29" t="str">
        <f t="shared" si="1"/>
        <v>S09138 - Oakview Nursing and Rehabilitation Center</v>
      </c>
      <c r="D57" s="31"/>
      <c r="E57" s="15" t="str">
        <f xml:space="preserve"> _xll.EPMOlapMemberO("[ACCOUNT].[H1].[T_REVENUES]","","T_REVENUES - Total Tenant Revenues","","000")</f>
        <v>T_REVENUES - Total Tenant Revenues</v>
      </c>
      <c r="F57" s="233">
        <v>653538</v>
      </c>
      <c r="G57" s="233">
        <v>580995</v>
      </c>
      <c r="H57" s="233">
        <v>630162</v>
      </c>
      <c r="I57" s="233">
        <v>802784</v>
      </c>
      <c r="J57">
        <v>500790</v>
      </c>
      <c r="K57">
        <v>455726</v>
      </c>
      <c r="L57">
        <v>600298</v>
      </c>
      <c r="M57">
        <v>501232</v>
      </c>
      <c r="N57">
        <v>523510</v>
      </c>
      <c r="O57">
        <v>523629</v>
      </c>
      <c r="P57">
        <v>561667</v>
      </c>
      <c r="Q57">
        <v>619076</v>
      </c>
    </row>
    <row r="58" spans="1:17" x14ac:dyDescent="0.25">
      <c r="A58" s="29" t="str">
        <f>_xll.EVPRO("Finance",$C58,"Inv_Type")</f>
        <v>Inv_Equity</v>
      </c>
      <c r="B58" s="29" t="str">
        <f t="shared" si="0"/>
        <v>Oakview Nursing and Rehabilitation Center</v>
      </c>
      <c r="C58" s="29" t="str">
        <f t="shared" si="1"/>
        <v>S09138 - Oakview Nursing and Rehabilitation Center</v>
      </c>
      <c r="D58" s="31"/>
      <c r="E58" s="15" t="str">
        <f xml:space="preserve"> _xll.EPMOlapMemberO("[ACCOUNT].[H1].[T_OPEX]","","T_OPEX - Tenant Operating Expenses","","000")</f>
        <v>T_OPEX - Tenant Operating Expenses</v>
      </c>
      <c r="F58" s="233">
        <v>465096</v>
      </c>
      <c r="G58" s="233">
        <v>474942</v>
      </c>
      <c r="H58" s="233">
        <v>477521</v>
      </c>
      <c r="I58" s="233">
        <v>564921</v>
      </c>
      <c r="J58">
        <v>446891</v>
      </c>
      <c r="K58">
        <v>420102</v>
      </c>
      <c r="L58">
        <v>437196</v>
      </c>
      <c r="M58">
        <v>417773</v>
      </c>
      <c r="N58">
        <v>439739</v>
      </c>
      <c r="O58">
        <v>403830</v>
      </c>
      <c r="P58">
        <v>479236</v>
      </c>
      <c r="Q58">
        <v>508423</v>
      </c>
    </row>
    <row r="59" spans="1:17" x14ac:dyDescent="0.25">
      <c r="A59" s="29" t="str">
        <f>_xll.EVPRO("Finance",$C59,"Inv_Type")</f>
        <v>Inv_Equity</v>
      </c>
      <c r="B59" s="29" t="str">
        <f t="shared" ref="B59:B122" si="2">MID($C59,FIND("- ",$C59)+2,10000)</f>
        <v>Oakview Nursing and Rehabilitation Center</v>
      </c>
      <c r="C59" s="29" t="str">
        <f t="shared" si="1"/>
        <v>S09138 - Oakview Nursing and Rehabilitation Center</v>
      </c>
      <c r="D59" s="31"/>
      <c r="E59" s="2" t="str">
        <f xml:space="preserve"> _xll.EPMOlapMemberO("[ACCOUNT].[H1].[T_NON_OP_EXP]","","T_NON_OP_EXP - Tenant Non-Operating Expense","","000")</f>
        <v>T_NON_OP_EXP - Tenant Non-Operating Expense</v>
      </c>
      <c r="F59" s="233">
        <v>12770</v>
      </c>
      <c r="G59" s="233">
        <v>13000</v>
      </c>
      <c r="H59" s="233">
        <v>13713</v>
      </c>
      <c r="I59" s="233">
        <v>9474</v>
      </c>
      <c r="J59">
        <v>9809</v>
      </c>
      <c r="K59">
        <v>9954</v>
      </c>
      <c r="L59">
        <v>9645</v>
      </c>
      <c r="M59">
        <v>10726</v>
      </c>
      <c r="N59">
        <v>9717</v>
      </c>
      <c r="O59">
        <v>9280</v>
      </c>
      <c r="P59">
        <v>11160</v>
      </c>
      <c r="Q59">
        <v>11216</v>
      </c>
    </row>
    <row r="60" spans="1:17" x14ac:dyDescent="0.25">
      <c r="A60" s="29" t="str">
        <f>_xll.EVPRO("Finance",$C60,"Inv_Type")</f>
        <v>Inv_Equity</v>
      </c>
      <c r="B60" s="29" t="str">
        <f t="shared" si="2"/>
        <v>Oakview Nursing and Rehabilitation Center</v>
      </c>
      <c r="C60" s="29" t="str">
        <f t="shared" si="1"/>
        <v>S09138 - Oakview Nursing and Rehabilitation Center</v>
      </c>
      <c r="D60" s="31"/>
      <c r="E60" s="16" t="str">
        <f xml:space="preserve"> _xll.EPMOlapMemberO("[ACCOUNT].[H1].[T_BAD_DEBT]","","T_BAD_DEBT - Tenant Bad Debt Expense","","000")</f>
        <v>T_BAD_DEBT - Tenant Bad Debt Expense</v>
      </c>
      <c r="F60" s="233">
        <v>5000</v>
      </c>
      <c r="G60" s="233">
        <v>2500</v>
      </c>
      <c r="H60" s="233">
        <v>2500</v>
      </c>
      <c r="I60" s="233">
        <v>11667</v>
      </c>
      <c r="J60">
        <v>7500</v>
      </c>
      <c r="K60">
        <v>7500</v>
      </c>
      <c r="M60">
        <v>5000</v>
      </c>
      <c r="N60">
        <v>10000</v>
      </c>
      <c r="P60">
        <v>5000</v>
      </c>
    </row>
    <row r="61" spans="1:17" x14ac:dyDescent="0.25">
      <c r="A61" s="29" t="str">
        <f>_xll.EVPRO("Finance",$C61,"Inv_Type")</f>
        <v>Inv_Equity</v>
      </c>
      <c r="B61" s="29" t="str">
        <f t="shared" si="2"/>
        <v>Oakview Nursing and Rehabilitation Center</v>
      </c>
      <c r="C61" s="29" t="str">
        <f t="shared" si="1"/>
        <v>S09138 - Oakview Nursing and Rehabilitation Center</v>
      </c>
      <c r="D61" s="31"/>
      <c r="E61" s="3" t="str">
        <f xml:space="preserve"> _xll.EPMOlapMemberO("[ACCOUNT].[H1].[T_EBITDARM]","","T_EBITDARM - EBITDARM","","000")</f>
        <v>T_EBITDARM - EBITDARM</v>
      </c>
      <c r="F61" s="233">
        <v>188442</v>
      </c>
      <c r="G61" s="233">
        <v>106053</v>
      </c>
      <c r="H61" s="233">
        <v>152641</v>
      </c>
      <c r="I61" s="233">
        <v>237863</v>
      </c>
      <c r="J61">
        <v>53899</v>
      </c>
      <c r="K61">
        <v>35624</v>
      </c>
      <c r="L61">
        <v>163102</v>
      </c>
      <c r="M61">
        <v>83459</v>
      </c>
      <c r="N61">
        <v>83771</v>
      </c>
      <c r="O61">
        <v>119799</v>
      </c>
      <c r="P61">
        <v>82431</v>
      </c>
      <c r="Q61">
        <v>110653</v>
      </c>
    </row>
    <row r="62" spans="1:17" x14ac:dyDescent="0.25">
      <c r="A62" s="29" t="str">
        <f>_xll.EVPRO("Finance",$C62,"Inv_Type")</f>
        <v>Inv_Equity</v>
      </c>
      <c r="B62" s="29" t="str">
        <f t="shared" si="2"/>
        <v>Oakview Nursing and Rehabilitation Center</v>
      </c>
      <c r="C62" s="29" t="str">
        <f t="shared" si="1"/>
        <v>S09138 - Oakview Nursing and Rehabilitation Center</v>
      </c>
      <c r="D62" s="31"/>
      <c r="E62" s="3" t="str">
        <f xml:space="preserve"> _xll.EPMOlapMemberO("[ACCOUNT].[H1].[T_MGMT_FEE]","","T_MGMT_FEE - Tenant Management Fee - Actual","","000")</f>
        <v>T_MGMT_FEE - Tenant Management Fee - Actual</v>
      </c>
      <c r="F62" s="233">
        <v>32430</v>
      </c>
      <c r="G62" s="233">
        <v>29340</v>
      </c>
      <c r="H62" s="233">
        <v>31823</v>
      </c>
      <c r="I62" s="233">
        <v>42079</v>
      </c>
      <c r="J62">
        <v>25290</v>
      </c>
      <c r="K62">
        <v>23014</v>
      </c>
      <c r="L62">
        <v>30315</v>
      </c>
      <c r="M62">
        <v>25312</v>
      </c>
      <c r="N62">
        <v>26437</v>
      </c>
      <c r="O62">
        <v>26443</v>
      </c>
      <c r="P62">
        <v>28364</v>
      </c>
      <c r="Q62">
        <v>31263</v>
      </c>
    </row>
    <row r="63" spans="1:17" x14ac:dyDescent="0.25">
      <c r="A63" s="29" t="str">
        <f>_xll.EVPRO("Finance",$C63,"Inv_Type")</f>
        <v>Inv_Equity</v>
      </c>
      <c r="B63" s="29" t="str">
        <f t="shared" si="2"/>
        <v>Oakview Nursing and Rehabilitation Center</v>
      </c>
      <c r="C63" s="29" t="str">
        <f t="shared" si="1"/>
        <v>S09138 - Oakview Nursing and Rehabilitation Center</v>
      </c>
      <c r="D63" s="31"/>
      <c r="E63" s="2" t="str">
        <f xml:space="preserve"> _xll.EPMOlapMemberO("[ACCOUNT].[H1].[T_EBITDAR]","","T_EBITDAR - EBITDAR","","000")</f>
        <v>T_EBITDAR - EBITDAR</v>
      </c>
      <c r="F63" s="233">
        <v>156012</v>
      </c>
      <c r="G63" s="233">
        <v>76713</v>
      </c>
      <c r="H63" s="233">
        <v>120818</v>
      </c>
      <c r="I63" s="233">
        <v>195784</v>
      </c>
      <c r="J63">
        <v>28609</v>
      </c>
      <c r="K63">
        <v>12610</v>
      </c>
      <c r="L63">
        <v>132787</v>
      </c>
      <c r="M63">
        <v>58147</v>
      </c>
      <c r="N63">
        <v>57334</v>
      </c>
      <c r="O63">
        <v>93356</v>
      </c>
      <c r="P63">
        <v>54067</v>
      </c>
      <c r="Q63">
        <v>79390</v>
      </c>
    </row>
    <row r="64" spans="1:17" x14ac:dyDescent="0.25">
      <c r="A64" s="29" t="str">
        <f>_xll.EVPRO("Finance",$C64,"Inv_Type")</f>
        <v>Inv_Equity</v>
      </c>
      <c r="B64" s="29" t="str">
        <f t="shared" si="2"/>
        <v>Oakview Nursing and Rehabilitation Center</v>
      </c>
      <c r="C64" s="29" t="str">
        <f t="shared" si="1"/>
        <v>S09138 - Oakview Nursing and Rehabilitation Center</v>
      </c>
      <c r="D64" s="31"/>
      <c r="E64" s="2" t="str">
        <f xml:space="preserve"> _xll.EPMOlapMemberO("[ACCOUNT].[H1].[T_RENT_EXP]","","T_RENT_EXP - Tenant Rent Expense","","000")</f>
        <v>T_RENT_EXP - Tenant Rent Expense</v>
      </c>
      <c r="F64" s="233">
        <v>95913</v>
      </c>
      <c r="G64" s="233">
        <v>95913</v>
      </c>
      <c r="H64" s="233">
        <v>95913</v>
      </c>
      <c r="I64" s="233">
        <v>98311</v>
      </c>
      <c r="J64">
        <v>98311</v>
      </c>
      <c r="K64">
        <v>98311</v>
      </c>
      <c r="L64">
        <v>98311</v>
      </c>
      <c r="M64">
        <v>98311</v>
      </c>
      <c r="N64">
        <v>98311</v>
      </c>
      <c r="O64">
        <v>98311</v>
      </c>
      <c r="P64">
        <v>98311</v>
      </c>
      <c r="Q64">
        <v>98311</v>
      </c>
    </row>
    <row r="65" spans="1:17" x14ac:dyDescent="0.25">
      <c r="A65" s="29" t="str">
        <f>_xll.EVPRO("Finance",$C65,"Inv_Type")</f>
        <v>Inv_Equity</v>
      </c>
      <c r="B65" s="29" t="str">
        <f t="shared" si="2"/>
        <v>Fountain Circle Care and Rehabilitation Center</v>
      </c>
      <c r="C65" s="29" t="str">
        <f t="shared" si="1"/>
        <v>S09139 - Fountain Circle Care and Rehabilitation Center</v>
      </c>
      <c r="D65" s="31" t="str">
        <f xml:space="preserve"> _xll.EPMOlapMemberO("[ENTITY].[H1].[S09139]","","S09139 - Fountain Circle Care and Rehabilitation Center","","000")</f>
        <v>S09139 - Fountain Circle Care and Rehabilitation Center</v>
      </c>
      <c r="E65" s="31" t="str">
        <f xml:space="preserve"> _xll.EPMOlapMemberO("[ACCOUNT].[H1].[PAY_PAT_DAYS]","","PAY_PAT_DAYS - Total Payor Patient Days","","000")</f>
        <v>PAY_PAT_DAYS - Total Payor Patient Days</v>
      </c>
      <c r="F65" s="233">
        <v>3718</v>
      </c>
      <c r="G65" s="233">
        <v>3665</v>
      </c>
      <c r="H65" s="233">
        <v>3546</v>
      </c>
      <c r="I65" s="233">
        <v>3771</v>
      </c>
      <c r="J65">
        <v>3801</v>
      </c>
      <c r="K65">
        <v>3432</v>
      </c>
      <c r="L65">
        <v>3806</v>
      </c>
      <c r="M65">
        <v>3797</v>
      </c>
      <c r="N65">
        <v>3766</v>
      </c>
      <c r="O65">
        <v>3899</v>
      </c>
      <c r="P65">
        <v>4222</v>
      </c>
      <c r="Q65">
        <v>3979</v>
      </c>
    </row>
    <row r="66" spans="1:17" x14ac:dyDescent="0.25">
      <c r="A66" s="29" t="str">
        <f>_xll.EVPRO("Finance",$C66,"Inv_Type")</f>
        <v>Inv_Equity</v>
      </c>
      <c r="B66" s="29" t="str">
        <f t="shared" si="2"/>
        <v>Fountain Circle Care and Rehabilitation Center</v>
      </c>
      <c r="C66" s="29" t="str">
        <f t="shared" si="1"/>
        <v>S09139 - Fountain Circle Care and Rehabilitation Center</v>
      </c>
      <c r="D66" s="31"/>
      <c r="E66" s="2" t="str">
        <f xml:space="preserve"> _xll.EPMOlapMemberO("[ACCOUNT].[H1].[A_BEDS_TOTAL]","","A_BEDS_TOTAL - Total Available Beds","","000")</f>
        <v>A_BEDS_TOTAL - Total Available Beds</v>
      </c>
      <c r="F66" s="233">
        <v>147</v>
      </c>
      <c r="G66" s="233">
        <v>147</v>
      </c>
      <c r="H66" s="233">
        <v>147</v>
      </c>
      <c r="I66" s="233">
        <v>147</v>
      </c>
      <c r="J66">
        <v>147</v>
      </c>
      <c r="K66">
        <v>147</v>
      </c>
      <c r="L66">
        <v>147</v>
      </c>
      <c r="M66">
        <v>147</v>
      </c>
      <c r="N66">
        <v>147</v>
      </c>
      <c r="O66">
        <v>147</v>
      </c>
      <c r="P66">
        <v>147</v>
      </c>
      <c r="Q66">
        <v>147</v>
      </c>
    </row>
    <row r="67" spans="1:17" x14ac:dyDescent="0.25">
      <c r="A67" s="29" t="str">
        <f>_xll.EVPRO("Finance",$C67,"Inv_Type")</f>
        <v>Inv_Equity</v>
      </c>
      <c r="B67" s="29" t="str">
        <f t="shared" si="2"/>
        <v>Fountain Circle Care and Rehabilitation Center</v>
      </c>
      <c r="C67" s="29" t="str">
        <f t="shared" si="1"/>
        <v>S09139 - Fountain Circle Care and Rehabilitation Center</v>
      </c>
      <c r="D67" s="31"/>
      <c r="E67" s="15" t="str">
        <f xml:space="preserve"> _xll.EPMOlapMemberO("[ACCOUNT].[H1].[T_REVENUES]","","T_REVENUES - Total Tenant Revenues","","000")</f>
        <v>T_REVENUES - Total Tenant Revenues</v>
      </c>
      <c r="F67" s="233">
        <v>1085421</v>
      </c>
      <c r="G67" s="233">
        <v>1136082</v>
      </c>
      <c r="H67" s="233">
        <v>1151537</v>
      </c>
      <c r="I67" s="233">
        <v>1386159</v>
      </c>
      <c r="J67">
        <v>1181037</v>
      </c>
      <c r="K67">
        <v>1068714</v>
      </c>
      <c r="L67">
        <v>1330269</v>
      </c>
      <c r="M67">
        <v>1211256</v>
      </c>
      <c r="N67">
        <v>1221669</v>
      </c>
      <c r="O67">
        <v>1209229</v>
      </c>
      <c r="P67">
        <v>1296965</v>
      </c>
      <c r="Q67">
        <v>1228422</v>
      </c>
    </row>
    <row r="68" spans="1:17" x14ac:dyDescent="0.25">
      <c r="A68" s="29" t="str">
        <f>_xll.EVPRO("Finance",$C68,"Inv_Type")</f>
        <v>Inv_Equity</v>
      </c>
      <c r="B68" s="29" t="str">
        <f t="shared" si="2"/>
        <v>Fountain Circle Care and Rehabilitation Center</v>
      </c>
      <c r="C68" s="29" t="str">
        <f t="shared" si="1"/>
        <v>S09139 - Fountain Circle Care and Rehabilitation Center</v>
      </c>
      <c r="D68" s="31"/>
      <c r="E68" s="15" t="str">
        <f xml:space="preserve"> _xll.EPMOlapMemberO("[ACCOUNT].[H1].[T_OPEX]","","T_OPEX - Tenant Operating Expenses","","000")</f>
        <v>T_OPEX - Tenant Operating Expenses</v>
      </c>
      <c r="F68" s="233">
        <v>933458</v>
      </c>
      <c r="G68" s="233">
        <v>1037337</v>
      </c>
      <c r="H68" s="233">
        <v>1030635</v>
      </c>
      <c r="I68" s="233">
        <v>1418432</v>
      </c>
      <c r="J68">
        <v>1062173</v>
      </c>
      <c r="K68">
        <v>951411</v>
      </c>
      <c r="L68">
        <v>1051107</v>
      </c>
      <c r="M68">
        <v>963511</v>
      </c>
      <c r="N68">
        <v>980921</v>
      </c>
      <c r="O68">
        <v>960622</v>
      </c>
      <c r="P68">
        <v>934208</v>
      </c>
      <c r="Q68">
        <v>948361</v>
      </c>
    </row>
    <row r="69" spans="1:17" x14ac:dyDescent="0.25">
      <c r="A69" s="29" t="str">
        <f>_xll.EVPRO("Finance",$C69,"Inv_Type")</f>
        <v>Inv_Equity</v>
      </c>
      <c r="B69" s="29" t="str">
        <f t="shared" si="2"/>
        <v>Fountain Circle Care and Rehabilitation Center</v>
      </c>
      <c r="C69" s="29" t="str">
        <f t="shared" si="1"/>
        <v>S09139 - Fountain Circle Care and Rehabilitation Center</v>
      </c>
      <c r="D69" s="31"/>
      <c r="E69" s="2" t="str">
        <f xml:space="preserve"> _xll.EPMOlapMemberO("[ACCOUNT].[H1].[T_NON_OP_EXP]","","T_NON_OP_EXP - Tenant Non-Operating Expense","","000")</f>
        <v>T_NON_OP_EXP - Tenant Non-Operating Expense</v>
      </c>
      <c r="F69" s="233">
        <v>16527</v>
      </c>
      <c r="G69" s="233">
        <v>17397</v>
      </c>
      <c r="H69" s="233">
        <v>17081</v>
      </c>
      <c r="I69" s="233">
        <v>16006</v>
      </c>
      <c r="J69">
        <v>17402</v>
      </c>
      <c r="K69">
        <v>17909</v>
      </c>
      <c r="L69">
        <v>17094</v>
      </c>
      <c r="M69">
        <v>18825</v>
      </c>
      <c r="N69">
        <v>17000</v>
      </c>
      <c r="O69">
        <v>18693</v>
      </c>
      <c r="P69">
        <v>19870</v>
      </c>
      <c r="Q69">
        <v>19435</v>
      </c>
    </row>
    <row r="70" spans="1:17" x14ac:dyDescent="0.25">
      <c r="A70" s="29" t="str">
        <f>_xll.EVPRO("Finance",$C70,"Inv_Type")</f>
        <v>Inv_Equity</v>
      </c>
      <c r="B70" s="29" t="str">
        <f t="shared" si="2"/>
        <v>Fountain Circle Care and Rehabilitation Center</v>
      </c>
      <c r="C70" s="29" t="str">
        <f t="shared" ref="C70:C133" si="3">IF($D70&lt;&gt;"",$D70,C69)</f>
        <v>S09139 - Fountain Circle Care and Rehabilitation Center</v>
      </c>
      <c r="D70" s="31"/>
      <c r="E70" s="16" t="str">
        <f xml:space="preserve"> _xll.EPMOlapMemberO("[ACCOUNT].[H1].[T_BAD_DEBT]","","T_BAD_DEBT - Tenant Bad Debt Expense","","000")</f>
        <v>T_BAD_DEBT - Tenant Bad Debt Expense</v>
      </c>
      <c r="F70" s="233">
        <v>-55958</v>
      </c>
      <c r="G70" s="233">
        <v>-5000</v>
      </c>
      <c r="H70" s="233">
        <v>-5000</v>
      </c>
      <c r="I70" s="233">
        <v>5964</v>
      </c>
      <c r="J70">
        <v>15000</v>
      </c>
      <c r="K70">
        <v>10000</v>
      </c>
      <c r="Q70">
        <v>5000</v>
      </c>
    </row>
    <row r="71" spans="1:17" x14ac:dyDescent="0.25">
      <c r="A71" s="29" t="str">
        <f>_xll.EVPRO("Finance",$C71,"Inv_Type")</f>
        <v>Inv_Equity</v>
      </c>
      <c r="B71" s="29" t="str">
        <f t="shared" si="2"/>
        <v>Fountain Circle Care and Rehabilitation Center</v>
      </c>
      <c r="C71" s="29" t="str">
        <f t="shared" si="3"/>
        <v>S09139 - Fountain Circle Care and Rehabilitation Center</v>
      </c>
      <c r="D71" s="31"/>
      <c r="E71" s="3" t="str">
        <f xml:space="preserve"> _xll.EPMOlapMemberO("[ACCOUNT].[H1].[T_EBITDARM]","","T_EBITDARM - EBITDARM","","000")</f>
        <v>T_EBITDARM - EBITDARM</v>
      </c>
      <c r="F71" s="233">
        <v>151963</v>
      </c>
      <c r="G71" s="233">
        <v>98745</v>
      </c>
      <c r="H71" s="233">
        <v>120902</v>
      </c>
      <c r="I71" s="233">
        <v>-32273</v>
      </c>
      <c r="J71">
        <v>118864</v>
      </c>
      <c r="K71">
        <v>117303</v>
      </c>
      <c r="L71">
        <v>279162</v>
      </c>
      <c r="M71">
        <v>247745</v>
      </c>
      <c r="N71">
        <v>240748</v>
      </c>
      <c r="O71">
        <v>248607</v>
      </c>
      <c r="P71">
        <v>362757</v>
      </c>
      <c r="Q71">
        <v>280061</v>
      </c>
    </row>
    <row r="72" spans="1:17" x14ac:dyDescent="0.25">
      <c r="A72" s="29" t="str">
        <f>_xll.EVPRO("Finance",$C72,"Inv_Type")</f>
        <v>Inv_Equity</v>
      </c>
      <c r="B72" s="29" t="str">
        <f t="shared" si="2"/>
        <v>Fountain Circle Care and Rehabilitation Center</v>
      </c>
      <c r="C72" s="29" t="str">
        <f t="shared" si="3"/>
        <v>S09139 - Fountain Circle Care and Rehabilitation Center</v>
      </c>
      <c r="D72" s="31"/>
      <c r="E72" s="3" t="str">
        <f xml:space="preserve"> _xll.EPMOlapMemberO("[ACCOUNT].[H1].[T_MGMT_FEE]","","T_MGMT_FEE - Tenant Management Fee - Actual","","000")</f>
        <v>T_MGMT_FEE - Tenant Management Fee - Actual</v>
      </c>
      <c r="F72" s="233">
        <v>54707</v>
      </c>
      <c r="G72" s="233">
        <v>57372</v>
      </c>
      <c r="H72" s="233">
        <v>58153</v>
      </c>
      <c r="I72" s="233">
        <v>62005</v>
      </c>
      <c r="J72">
        <v>59771</v>
      </c>
      <c r="K72">
        <v>53970</v>
      </c>
      <c r="L72">
        <v>67179</v>
      </c>
      <c r="M72">
        <v>61168</v>
      </c>
      <c r="N72">
        <v>61694</v>
      </c>
      <c r="O72">
        <v>61066</v>
      </c>
      <c r="P72">
        <v>65497</v>
      </c>
      <c r="Q72">
        <v>62035</v>
      </c>
    </row>
    <row r="73" spans="1:17" x14ac:dyDescent="0.25">
      <c r="A73" s="29" t="str">
        <f>_xll.EVPRO("Finance",$C73,"Inv_Type")</f>
        <v>Inv_Equity</v>
      </c>
      <c r="B73" s="29" t="str">
        <f t="shared" si="2"/>
        <v>Fountain Circle Care and Rehabilitation Center</v>
      </c>
      <c r="C73" s="29" t="str">
        <f t="shared" si="3"/>
        <v>S09139 - Fountain Circle Care and Rehabilitation Center</v>
      </c>
      <c r="D73" s="31"/>
      <c r="E73" s="2" t="str">
        <f xml:space="preserve"> _xll.EPMOlapMemberO("[ACCOUNT].[H1].[T_EBITDAR]","","T_EBITDAR - EBITDAR","","000")</f>
        <v>T_EBITDAR - EBITDAR</v>
      </c>
      <c r="F73" s="233">
        <v>97256</v>
      </c>
      <c r="G73" s="233">
        <v>41373</v>
      </c>
      <c r="H73" s="233">
        <v>62749</v>
      </c>
      <c r="I73" s="233">
        <v>-94278</v>
      </c>
      <c r="J73">
        <v>59093</v>
      </c>
      <c r="K73">
        <v>63333</v>
      </c>
      <c r="L73">
        <v>211983</v>
      </c>
      <c r="M73">
        <v>186577</v>
      </c>
      <c r="N73">
        <v>179054</v>
      </c>
      <c r="O73">
        <v>187541</v>
      </c>
      <c r="P73">
        <v>297260</v>
      </c>
      <c r="Q73">
        <v>218026</v>
      </c>
    </row>
    <row r="74" spans="1:17" x14ac:dyDescent="0.25">
      <c r="A74" s="29" t="str">
        <f>_xll.EVPRO("Finance",$C74,"Inv_Type")</f>
        <v>Inv_Equity</v>
      </c>
      <c r="B74" s="29" t="str">
        <f t="shared" si="2"/>
        <v>Fountain Circle Care and Rehabilitation Center</v>
      </c>
      <c r="C74" s="29" t="str">
        <f t="shared" si="3"/>
        <v>S09139 - Fountain Circle Care and Rehabilitation Center</v>
      </c>
      <c r="D74" s="31"/>
      <c r="E74" s="2" t="str">
        <f xml:space="preserve"> _xll.EPMOlapMemberO("[ACCOUNT].[H1].[T_RENT_EXP]","","T_RENT_EXP - Tenant Rent Expense","","000")</f>
        <v>T_RENT_EXP - Tenant Rent Expense</v>
      </c>
      <c r="F74" s="233">
        <v>5253</v>
      </c>
      <c r="G74" s="233">
        <v>5253</v>
      </c>
      <c r="H74" s="233">
        <v>5253</v>
      </c>
      <c r="I74" s="233">
        <v>5384</v>
      </c>
      <c r="J74">
        <v>5384</v>
      </c>
      <c r="K74">
        <v>5384</v>
      </c>
      <c r="L74">
        <v>5384</v>
      </c>
      <c r="M74">
        <v>5384</v>
      </c>
      <c r="N74">
        <v>5384</v>
      </c>
      <c r="O74">
        <v>5384</v>
      </c>
      <c r="P74">
        <v>5384</v>
      </c>
      <c r="Q74">
        <v>5384</v>
      </c>
    </row>
    <row r="75" spans="1:17" x14ac:dyDescent="0.25">
      <c r="A75" s="29" t="str">
        <f>_xll.EVPRO("Finance",$C75,"Inv_Type")</f>
        <v>Inv_Equity</v>
      </c>
      <c r="B75" s="29" t="str">
        <f t="shared" si="2"/>
        <v>Riverside Care &amp; Rehabilitation Center</v>
      </c>
      <c r="C75" s="29" t="str">
        <f t="shared" si="3"/>
        <v>S09140 - Riverside Care &amp; Rehabilitation Center</v>
      </c>
      <c r="D75" s="31" t="str">
        <f xml:space="preserve"> _xll.EPMOlapMemberO("[ENTITY].[H1].[S09140]","","S09140 - Riverside Care &amp; Rehabilitation Center","","000")</f>
        <v>S09140 - Riverside Care &amp; Rehabilitation Center</v>
      </c>
      <c r="E75" s="31" t="str">
        <f xml:space="preserve"> _xll.EPMOlapMemberO("[ACCOUNT].[H1].[PAY_PAT_DAYS]","","PAY_PAT_DAYS - Total Payor Patient Days","","000")</f>
        <v>PAY_PAT_DAYS - Total Payor Patient Days</v>
      </c>
      <c r="F75" s="233">
        <v>1996</v>
      </c>
      <c r="G75" s="233">
        <v>2033</v>
      </c>
      <c r="H75" s="233">
        <v>1660</v>
      </c>
      <c r="I75" s="233">
        <v>1884</v>
      </c>
      <c r="J75">
        <v>2025</v>
      </c>
      <c r="K75">
        <v>1744</v>
      </c>
      <c r="L75">
        <v>1861</v>
      </c>
      <c r="M75">
        <v>1930</v>
      </c>
      <c r="N75">
        <v>2140</v>
      </c>
      <c r="O75">
        <v>2036</v>
      </c>
      <c r="P75">
        <v>2193</v>
      </c>
      <c r="Q75">
        <v>2176</v>
      </c>
    </row>
    <row r="76" spans="1:17" x14ac:dyDescent="0.25">
      <c r="A76" s="29" t="str">
        <f>_xll.EVPRO("Finance",$C76,"Inv_Type")</f>
        <v>Inv_Equity</v>
      </c>
      <c r="B76" s="29" t="str">
        <f t="shared" si="2"/>
        <v>Riverside Care &amp; Rehabilitation Center</v>
      </c>
      <c r="C76" s="29" t="str">
        <f t="shared" si="3"/>
        <v>S09140 - Riverside Care &amp; Rehabilitation Center</v>
      </c>
      <c r="D76" s="31"/>
      <c r="E76" s="2" t="str">
        <f xml:space="preserve"> _xll.EPMOlapMemberO("[ACCOUNT].[H1].[A_BEDS_TOTAL]","","A_BEDS_TOTAL - Total Available Beds","","000")</f>
        <v>A_BEDS_TOTAL - Total Available Beds</v>
      </c>
      <c r="F76" s="233">
        <v>79</v>
      </c>
      <c r="G76" s="233">
        <v>79</v>
      </c>
      <c r="H76" s="233">
        <v>79</v>
      </c>
      <c r="I76" s="233">
        <v>79</v>
      </c>
      <c r="J76">
        <v>79</v>
      </c>
      <c r="K76">
        <v>79</v>
      </c>
      <c r="L76">
        <v>79</v>
      </c>
      <c r="M76">
        <v>79</v>
      </c>
      <c r="N76">
        <v>79</v>
      </c>
      <c r="O76">
        <v>79</v>
      </c>
      <c r="P76">
        <v>79</v>
      </c>
      <c r="Q76">
        <v>79</v>
      </c>
    </row>
    <row r="77" spans="1:17" x14ac:dyDescent="0.25">
      <c r="A77" s="29" t="str">
        <f>_xll.EVPRO("Finance",$C77,"Inv_Type")</f>
        <v>Inv_Equity</v>
      </c>
      <c r="B77" s="29" t="str">
        <f t="shared" si="2"/>
        <v>Riverside Care &amp; Rehabilitation Center</v>
      </c>
      <c r="C77" s="29" t="str">
        <f t="shared" si="3"/>
        <v>S09140 - Riverside Care &amp; Rehabilitation Center</v>
      </c>
      <c r="D77" s="31"/>
      <c r="E77" s="15" t="str">
        <f xml:space="preserve"> _xll.EPMOlapMemberO("[ACCOUNT].[H1].[T_REVENUES]","","T_REVENUES - Total Tenant Revenues","","000")</f>
        <v>T_REVENUES - Total Tenant Revenues</v>
      </c>
      <c r="F77" s="233">
        <v>673157</v>
      </c>
      <c r="G77" s="233">
        <v>613454</v>
      </c>
      <c r="H77" s="233">
        <v>757197</v>
      </c>
      <c r="I77" s="233">
        <v>857004</v>
      </c>
      <c r="J77">
        <v>597286</v>
      </c>
      <c r="K77">
        <v>490243</v>
      </c>
      <c r="L77">
        <v>656006</v>
      </c>
      <c r="M77">
        <v>586275</v>
      </c>
      <c r="N77">
        <v>646292</v>
      </c>
      <c r="O77">
        <v>601552</v>
      </c>
      <c r="P77">
        <v>691001</v>
      </c>
      <c r="Q77">
        <v>659864</v>
      </c>
    </row>
    <row r="78" spans="1:17" x14ac:dyDescent="0.25">
      <c r="A78" s="29" t="str">
        <f>_xll.EVPRO("Finance",$C78,"Inv_Type")</f>
        <v>Inv_Equity</v>
      </c>
      <c r="B78" s="29" t="str">
        <f t="shared" si="2"/>
        <v>Riverside Care &amp; Rehabilitation Center</v>
      </c>
      <c r="C78" s="29" t="str">
        <f t="shared" si="3"/>
        <v>S09140 - Riverside Care &amp; Rehabilitation Center</v>
      </c>
      <c r="D78" s="31"/>
      <c r="E78" s="15" t="str">
        <f xml:space="preserve"> _xll.EPMOlapMemberO("[ACCOUNT].[H1].[T_OPEX]","","T_OPEX - Tenant Operating Expenses","","000")</f>
        <v>T_OPEX - Tenant Operating Expenses</v>
      </c>
      <c r="F78" s="233">
        <v>471914</v>
      </c>
      <c r="G78" s="233">
        <v>506806</v>
      </c>
      <c r="H78" s="233">
        <v>548655</v>
      </c>
      <c r="I78" s="233">
        <v>591263</v>
      </c>
      <c r="J78">
        <v>496889</v>
      </c>
      <c r="K78">
        <v>438153</v>
      </c>
      <c r="L78">
        <v>474550</v>
      </c>
      <c r="M78">
        <v>455014</v>
      </c>
      <c r="N78">
        <v>441532</v>
      </c>
      <c r="O78">
        <v>460290</v>
      </c>
      <c r="P78">
        <v>476312</v>
      </c>
      <c r="Q78">
        <v>488065</v>
      </c>
    </row>
    <row r="79" spans="1:17" x14ac:dyDescent="0.25">
      <c r="A79" s="29" t="str">
        <f>_xll.EVPRO("Finance",$C79,"Inv_Type")</f>
        <v>Inv_Equity</v>
      </c>
      <c r="B79" s="29" t="str">
        <f t="shared" si="2"/>
        <v>Riverside Care &amp; Rehabilitation Center</v>
      </c>
      <c r="C79" s="29" t="str">
        <f t="shared" si="3"/>
        <v>S09140 - Riverside Care &amp; Rehabilitation Center</v>
      </c>
      <c r="D79" s="31"/>
      <c r="E79" s="2" t="str">
        <f xml:space="preserve"> _xll.EPMOlapMemberO("[ACCOUNT].[H1].[T_NON_OP_EXP]","","T_NON_OP_EXP - Tenant Non-Operating Expense","","000")</f>
        <v>T_NON_OP_EXP - Tenant Non-Operating Expense</v>
      </c>
      <c r="F79" s="233">
        <v>14093</v>
      </c>
      <c r="G79" s="233">
        <v>14497</v>
      </c>
      <c r="H79" s="233">
        <v>15496</v>
      </c>
      <c r="I79" s="233">
        <v>9343</v>
      </c>
      <c r="J79">
        <v>10097</v>
      </c>
      <c r="K79">
        <v>10414</v>
      </c>
      <c r="L79">
        <v>9845</v>
      </c>
      <c r="M79">
        <v>11181</v>
      </c>
      <c r="N79">
        <v>10310</v>
      </c>
      <c r="O79">
        <v>11132</v>
      </c>
      <c r="P79">
        <v>11511</v>
      </c>
      <c r="Q79">
        <v>11412</v>
      </c>
    </row>
    <row r="80" spans="1:17" x14ac:dyDescent="0.25">
      <c r="A80" s="29" t="str">
        <f>_xll.EVPRO("Finance",$C80,"Inv_Type")</f>
        <v>Inv_Equity</v>
      </c>
      <c r="B80" s="29" t="str">
        <f t="shared" si="2"/>
        <v>Riverside Care &amp; Rehabilitation Center</v>
      </c>
      <c r="C80" s="29" t="str">
        <f t="shared" si="3"/>
        <v>S09140 - Riverside Care &amp; Rehabilitation Center</v>
      </c>
      <c r="D80" s="31"/>
      <c r="E80" s="16" t="str">
        <f xml:space="preserve"> _xll.EPMOlapMemberO("[ACCOUNT].[H1].[T_BAD_DEBT]","","T_BAD_DEBT - Tenant Bad Debt Expense","","000")</f>
        <v>T_BAD_DEBT - Tenant Bad Debt Expense</v>
      </c>
      <c r="F80" s="233">
        <v>5000</v>
      </c>
      <c r="G80" s="233">
        <v>2500</v>
      </c>
      <c r="H80" s="233">
        <v>-2500</v>
      </c>
      <c r="I80" s="233">
        <v>6124</v>
      </c>
      <c r="J80">
        <v>9500</v>
      </c>
      <c r="K80">
        <v>7500</v>
      </c>
    </row>
    <row r="81" spans="1:17" x14ac:dyDescent="0.25">
      <c r="A81" s="29" t="str">
        <f>_xll.EVPRO("Finance",$C81,"Inv_Type")</f>
        <v>Inv_Equity</v>
      </c>
      <c r="B81" s="29" t="str">
        <f t="shared" si="2"/>
        <v>Riverside Care &amp; Rehabilitation Center</v>
      </c>
      <c r="C81" s="29" t="str">
        <f t="shared" si="3"/>
        <v>S09140 - Riverside Care &amp; Rehabilitation Center</v>
      </c>
      <c r="D81" s="31"/>
      <c r="E81" s="3" t="str">
        <f xml:space="preserve"> _xll.EPMOlapMemberO("[ACCOUNT].[H1].[T_EBITDARM]","","T_EBITDARM - EBITDARM","","000")</f>
        <v>T_EBITDARM - EBITDARM</v>
      </c>
      <c r="F81" s="233">
        <v>201243</v>
      </c>
      <c r="G81" s="233">
        <v>106648</v>
      </c>
      <c r="H81" s="233">
        <v>208542</v>
      </c>
      <c r="I81" s="233">
        <v>265741</v>
      </c>
      <c r="J81">
        <v>100397</v>
      </c>
      <c r="K81">
        <v>52090</v>
      </c>
      <c r="L81">
        <v>181456</v>
      </c>
      <c r="M81">
        <v>131261</v>
      </c>
      <c r="N81">
        <v>204760</v>
      </c>
      <c r="O81">
        <v>141262</v>
      </c>
      <c r="P81">
        <v>214689</v>
      </c>
      <c r="Q81">
        <v>171799</v>
      </c>
    </row>
    <row r="82" spans="1:17" x14ac:dyDescent="0.25">
      <c r="A82" s="29" t="str">
        <f>_xll.EVPRO("Finance",$C82,"Inv_Type")</f>
        <v>Inv_Equity</v>
      </c>
      <c r="B82" s="29" t="str">
        <f t="shared" si="2"/>
        <v>Riverside Care &amp; Rehabilitation Center</v>
      </c>
      <c r="C82" s="29" t="str">
        <f t="shared" si="3"/>
        <v>S09140 - Riverside Care &amp; Rehabilitation Center</v>
      </c>
      <c r="D82" s="31"/>
      <c r="E82" s="3" t="str">
        <f xml:space="preserve"> _xll.EPMOlapMemberO("[ACCOUNT].[H1].[T_MGMT_FEE]","","T_MGMT_FEE - Tenant Management Fee - Actual","","000")</f>
        <v>T_MGMT_FEE - Tenant Management Fee - Actual</v>
      </c>
      <c r="F82" s="233">
        <v>33485</v>
      </c>
      <c r="G82" s="233">
        <v>30979</v>
      </c>
      <c r="H82" s="233">
        <v>38238</v>
      </c>
      <c r="I82" s="233">
        <v>37686</v>
      </c>
      <c r="J82">
        <v>30163</v>
      </c>
      <c r="K82">
        <v>24757</v>
      </c>
      <c r="L82">
        <v>33128</v>
      </c>
      <c r="M82">
        <v>29607</v>
      </c>
      <c r="N82">
        <v>32638</v>
      </c>
      <c r="O82">
        <v>30378</v>
      </c>
      <c r="P82">
        <v>34895</v>
      </c>
      <c r="Q82">
        <v>33323</v>
      </c>
    </row>
    <row r="83" spans="1:17" x14ac:dyDescent="0.25">
      <c r="A83" s="29" t="str">
        <f>_xll.EVPRO("Finance",$C83,"Inv_Type")</f>
        <v>Inv_Equity</v>
      </c>
      <c r="B83" s="29" t="str">
        <f t="shared" si="2"/>
        <v>Riverside Care &amp; Rehabilitation Center</v>
      </c>
      <c r="C83" s="29" t="str">
        <f t="shared" si="3"/>
        <v>S09140 - Riverside Care &amp; Rehabilitation Center</v>
      </c>
      <c r="D83" s="31"/>
      <c r="E83" s="2" t="str">
        <f xml:space="preserve"> _xll.EPMOlapMemberO("[ACCOUNT].[H1].[T_EBITDAR]","","T_EBITDAR - EBITDAR","","000")</f>
        <v>T_EBITDAR - EBITDAR</v>
      </c>
      <c r="F83" s="233">
        <v>167758</v>
      </c>
      <c r="G83" s="233">
        <v>75669</v>
      </c>
      <c r="H83" s="233">
        <v>170304</v>
      </c>
      <c r="I83" s="233">
        <v>228055</v>
      </c>
      <c r="J83">
        <v>70234</v>
      </c>
      <c r="K83">
        <v>27333</v>
      </c>
      <c r="L83">
        <v>148328</v>
      </c>
      <c r="M83">
        <v>101654</v>
      </c>
      <c r="N83">
        <v>172122</v>
      </c>
      <c r="O83">
        <v>110884</v>
      </c>
      <c r="P83">
        <v>179794</v>
      </c>
      <c r="Q83">
        <v>138476</v>
      </c>
    </row>
    <row r="84" spans="1:17" x14ac:dyDescent="0.25">
      <c r="A84" s="29" t="str">
        <f>_xll.EVPRO("Finance",$C84,"Inv_Type")</f>
        <v>Inv_Equity</v>
      </c>
      <c r="B84" s="29" t="str">
        <f t="shared" si="2"/>
        <v>Riverside Care &amp; Rehabilitation Center</v>
      </c>
      <c r="C84" s="29" t="str">
        <f t="shared" si="3"/>
        <v>S09140 - Riverside Care &amp; Rehabilitation Center</v>
      </c>
      <c r="D84" s="31"/>
      <c r="E84" s="2" t="str">
        <f xml:space="preserve"> _xll.EPMOlapMemberO("[ACCOUNT].[H1].[T_RENT_EXP]","","T_RENT_EXP - Tenant Rent Expense","","000")</f>
        <v>T_RENT_EXP - Tenant Rent Expense</v>
      </c>
      <c r="F84" s="233">
        <v>151203</v>
      </c>
      <c r="G84" s="233">
        <v>151203</v>
      </c>
      <c r="H84" s="233">
        <v>151203</v>
      </c>
      <c r="I84" s="233">
        <v>154983</v>
      </c>
      <c r="J84">
        <v>154983</v>
      </c>
      <c r="K84">
        <v>154983</v>
      </c>
      <c r="L84">
        <v>154983</v>
      </c>
      <c r="M84">
        <v>154983</v>
      </c>
      <c r="N84">
        <v>154983</v>
      </c>
      <c r="O84">
        <v>154983</v>
      </c>
      <c r="P84">
        <v>154983</v>
      </c>
      <c r="Q84">
        <v>154983</v>
      </c>
    </row>
    <row r="85" spans="1:17" x14ac:dyDescent="0.25">
      <c r="A85" s="29" t="str">
        <f>_xll.EVPRO("Finance",$C85,"Inv_Type")</f>
        <v>Inv_Equity</v>
      </c>
      <c r="B85" s="29" t="str">
        <f t="shared" si="2"/>
        <v>SHC of Bremen</v>
      </c>
      <c r="C85" s="29" t="str">
        <f t="shared" si="3"/>
        <v>S09141 - SHC of Bremen</v>
      </c>
      <c r="D85" s="31" t="str">
        <f xml:space="preserve"> _xll.EPMOlapMemberO("[ENTITY].[H1].[S09141]","","S09141 - SHC of Bremen","","000")</f>
        <v>S09141 - SHC of Bremen</v>
      </c>
      <c r="E85" s="31" t="str">
        <f xml:space="preserve"> _xll.EPMOlapMemberO("[ACCOUNT].[H1].[PAY_PAT_DAYS]","","PAY_PAT_DAYS - Total Payor Patient Days","","000")</f>
        <v>PAY_PAT_DAYS - Total Payor Patient Days</v>
      </c>
      <c r="F85" s="233">
        <v>2092</v>
      </c>
      <c r="G85" s="233">
        <v>2131</v>
      </c>
      <c r="H85" s="233">
        <v>2035</v>
      </c>
      <c r="I85" s="233">
        <v>1766</v>
      </c>
      <c r="J85">
        <v>1679</v>
      </c>
      <c r="K85">
        <v>1560</v>
      </c>
      <c r="L85">
        <v>1791</v>
      </c>
      <c r="M85">
        <v>1898</v>
      </c>
      <c r="N85">
        <v>1990</v>
      </c>
      <c r="O85">
        <v>1870</v>
      </c>
      <c r="P85">
        <v>1940</v>
      </c>
      <c r="Q85">
        <v>2026</v>
      </c>
    </row>
    <row r="86" spans="1:17" x14ac:dyDescent="0.25">
      <c r="A86" s="29" t="str">
        <f>_xll.EVPRO("Finance",$C86,"Inv_Type")</f>
        <v>Inv_Equity</v>
      </c>
      <c r="B86" s="29" t="str">
        <f t="shared" si="2"/>
        <v>SHC of Bremen</v>
      </c>
      <c r="C86" s="29" t="str">
        <f t="shared" si="3"/>
        <v>S09141 - SHC of Bremen</v>
      </c>
      <c r="D86" s="31"/>
      <c r="E86" s="2" t="str">
        <f xml:space="preserve"> _xll.EPMOlapMemberO("[ACCOUNT].[H1].[A_BEDS_TOTAL]","","A_BEDS_TOTAL - Total Available Beds","","000")</f>
        <v>A_BEDS_TOTAL - Total Available Beds</v>
      </c>
      <c r="F86" s="233">
        <v>82</v>
      </c>
      <c r="G86" s="233">
        <v>82</v>
      </c>
      <c r="H86" s="233">
        <v>82</v>
      </c>
      <c r="I86" s="233">
        <v>82</v>
      </c>
      <c r="J86">
        <v>82</v>
      </c>
      <c r="K86">
        <v>82</v>
      </c>
      <c r="L86">
        <v>82</v>
      </c>
      <c r="M86">
        <v>82</v>
      </c>
      <c r="N86">
        <v>82</v>
      </c>
      <c r="O86">
        <v>82</v>
      </c>
      <c r="P86">
        <v>82</v>
      </c>
      <c r="Q86">
        <v>82</v>
      </c>
    </row>
    <row r="87" spans="1:17" x14ac:dyDescent="0.25">
      <c r="A87" s="29" t="str">
        <f>_xll.EVPRO("Finance",$C87,"Inv_Type")</f>
        <v>Inv_Equity</v>
      </c>
      <c r="B87" s="29" t="str">
        <f t="shared" si="2"/>
        <v>SHC of Bremen</v>
      </c>
      <c r="C87" s="29" t="str">
        <f t="shared" si="3"/>
        <v>S09141 - SHC of Bremen</v>
      </c>
      <c r="D87" s="31"/>
      <c r="E87" s="15" t="str">
        <f xml:space="preserve"> _xll.EPMOlapMemberO("[ACCOUNT].[H1].[T_REVENUES]","","T_REVENUES - Total Tenant Revenues","","000")</f>
        <v>T_REVENUES - Total Tenant Revenues</v>
      </c>
      <c r="F87" s="233">
        <v>582456</v>
      </c>
      <c r="G87" s="233">
        <v>576126</v>
      </c>
      <c r="H87" s="233">
        <v>676839</v>
      </c>
      <c r="I87" s="233">
        <v>575148</v>
      </c>
      <c r="J87">
        <v>611058</v>
      </c>
      <c r="K87">
        <v>519970</v>
      </c>
      <c r="L87">
        <v>565286</v>
      </c>
      <c r="M87">
        <v>572903</v>
      </c>
      <c r="N87">
        <v>649494</v>
      </c>
      <c r="O87">
        <v>575919</v>
      </c>
      <c r="P87">
        <v>560231</v>
      </c>
      <c r="Q87">
        <v>628074</v>
      </c>
    </row>
    <row r="88" spans="1:17" x14ac:dyDescent="0.25">
      <c r="A88" s="29" t="str">
        <f>_xll.EVPRO("Finance",$C88,"Inv_Type")</f>
        <v>Inv_Equity</v>
      </c>
      <c r="B88" s="29" t="str">
        <f t="shared" si="2"/>
        <v>SHC of Bremen</v>
      </c>
      <c r="C88" s="29" t="str">
        <f t="shared" si="3"/>
        <v>S09141 - SHC of Bremen</v>
      </c>
      <c r="D88" s="31"/>
      <c r="E88" s="15" t="str">
        <f xml:space="preserve"> _xll.EPMOlapMemberO("[ACCOUNT].[H1].[T_OPEX]","","T_OPEX - Tenant Operating Expenses","","000")</f>
        <v>T_OPEX - Tenant Operating Expenses</v>
      </c>
      <c r="F88" s="233">
        <v>448906</v>
      </c>
      <c r="G88" s="233">
        <v>479242</v>
      </c>
      <c r="H88" s="233">
        <v>584346</v>
      </c>
      <c r="I88" s="233">
        <v>737111</v>
      </c>
      <c r="J88">
        <v>453869</v>
      </c>
      <c r="K88">
        <v>468309</v>
      </c>
      <c r="L88">
        <v>409755</v>
      </c>
      <c r="M88">
        <v>418178</v>
      </c>
      <c r="N88">
        <v>456927</v>
      </c>
      <c r="O88">
        <v>448239</v>
      </c>
      <c r="P88">
        <v>459322</v>
      </c>
      <c r="Q88">
        <v>479287</v>
      </c>
    </row>
    <row r="89" spans="1:17" x14ac:dyDescent="0.25">
      <c r="A89" s="29" t="str">
        <f>_xll.EVPRO("Finance",$C89,"Inv_Type")</f>
        <v>Inv_Equity</v>
      </c>
      <c r="B89" s="29" t="str">
        <f t="shared" si="2"/>
        <v>SHC of Bremen</v>
      </c>
      <c r="C89" s="29" t="str">
        <f t="shared" si="3"/>
        <v>S09141 - SHC of Bremen</v>
      </c>
      <c r="D89" s="31"/>
      <c r="E89" s="2" t="str">
        <f xml:space="preserve"> _xll.EPMOlapMemberO("[ACCOUNT].[H1].[T_NON_OP_EXP]","","T_NON_OP_EXP - Tenant Non-Operating Expense","","000")</f>
        <v>T_NON_OP_EXP - Tenant Non-Operating Expense</v>
      </c>
      <c r="F89" s="233">
        <v>10185</v>
      </c>
      <c r="G89" s="233">
        <v>10276</v>
      </c>
      <c r="H89" s="233">
        <v>9825</v>
      </c>
      <c r="I89" s="233">
        <v>6800</v>
      </c>
      <c r="J89">
        <v>6974</v>
      </c>
      <c r="K89">
        <v>7037</v>
      </c>
      <c r="L89">
        <v>6903</v>
      </c>
      <c r="M89">
        <v>7733</v>
      </c>
      <c r="N89">
        <v>7911</v>
      </c>
      <c r="O89">
        <v>8259</v>
      </c>
      <c r="P89">
        <v>8709</v>
      </c>
      <c r="Q89">
        <v>8802</v>
      </c>
    </row>
    <row r="90" spans="1:17" x14ac:dyDescent="0.25">
      <c r="A90" s="29" t="str">
        <f>_xll.EVPRO("Finance",$C90,"Inv_Type")</f>
        <v>Inv_Equity</v>
      </c>
      <c r="B90" s="29" t="str">
        <f t="shared" si="2"/>
        <v>SHC of Bremen</v>
      </c>
      <c r="C90" s="29" t="str">
        <f t="shared" si="3"/>
        <v>S09141 - SHC of Bremen</v>
      </c>
      <c r="D90" s="31"/>
      <c r="E90" s="16" t="str">
        <f xml:space="preserve"> _xll.EPMOlapMemberO("[ACCOUNT].[H1].[T_BAD_DEBT]","","T_BAD_DEBT - Tenant Bad Debt Expense","","000")</f>
        <v>T_BAD_DEBT - Tenant Bad Debt Expense</v>
      </c>
      <c r="F90" s="233">
        <v>11515</v>
      </c>
      <c r="G90" s="233">
        <v>-2698</v>
      </c>
      <c r="H90" s="233">
        <v>-5000</v>
      </c>
      <c r="I90" s="233">
        <v>13995</v>
      </c>
      <c r="J90">
        <v>20819</v>
      </c>
      <c r="K90">
        <v>18000</v>
      </c>
    </row>
    <row r="91" spans="1:17" x14ac:dyDescent="0.25">
      <c r="A91" s="29" t="str">
        <f>_xll.EVPRO("Finance",$C91,"Inv_Type")</f>
        <v>Inv_Equity</v>
      </c>
      <c r="B91" s="29" t="str">
        <f t="shared" si="2"/>
        <v>SHC of Bremen</v>
      </c>
      <c r="C91" s="29" t="str">
        <f t="shared" si="3"/>
        <v>S09141 - SHC of Bremen</v>
      </c>
      <c r="D91" s="31"/>
      <c r="E91" s="3" t="str">
        <f xml:space="preserve"> _xll.EPMOlapMemberO("[ACCOUNT].[H1].[T_EBITDARM]","","T_EBITDARM - EBITDARM","","000")</f>
        <v>T_EBITDARM - EBITDARM</v>
      </c>
      <c r="F91" s="233">
        <v>133550</v>
      </c>
      <c r="G91" s="233">
        <v>96884</v>
      </c>
      <c r="H91" s="233">
        <v>92493</v>
      </c>
      <c r="I91" s="233">
        <v>-161963</v>
      </c>
      <c r="J91">
        <v>157189</v>
      </c>
      <c r="K91">
        <v>51661</v>
      </c>
      <c r="L91">
        <v>155531</v>
      </c>
      <c r="M91">
        <v>154725</v>
      </c>
      <c r="N91">
        <v>192567</v>
      </c>
      <c r="O91">
        <v>127680</v>
      </c>
      <c r="P91">
        <v>100909</v>
      </c>
      <c r="Q91">
        <v>148787</v>
      </c>
    </row>
    <row r="92" spans="1:17" x14ac:dyDescent="0.25">
      <c r="A92" s="29" t="str">
        <f>_xll.EVPRO("Finance",$C92,"Inv_Type")</f>
        <v>Inv_Equity</v>
      </c>
      <c r="B92" s="29" t="str">
        <f t="shared" si="2"/>
        <v>SHC of Bremen</v>
      </c>
      <c r="C92" s="29" t="str">
        <f t="shared" si="3"/>
        <v>S09141 - SHC of Bremen</v>
      </c>
      <c r="D92" s="31"/>
      <c r="E92" s="3" t="str">
        <f xml:space="preserve"> _xll.EPMOlapMemberO("[ACCOUNT].[H1].[T_MGMT_FEE]","","T_MGMT_FEE - Tenant Management Fee - Actual","","000")</f>
        <v>T_MGMT_FEE - Tenant Management Fee - Actual</v>
      </c>
      <c r="F92" s="233">
        <v>29395</v>
      </c>
      <c r="G92" s="233">
        <v>29094</v>
      </c>
      <c r="H92" s="233">
        <v>34180</v>
      </c>
      <c r="I92" s="233">
        <v>29045</v>
      </c>
      <c r="J92">
        <v>30858</v>
      </c>
      <c r="K92">
        <v>26258</v>
      </c>
      <c r="L92">
        <v>28547</v>
      </c>
      <c r="M92">
        <v>28932</v>
      </c>
      <c r="N92">
        <v>32799</v>
      </c>
      <c r="O92">
        <v>29084</v>
      </c>
      <c r="P92">
        <v>28292</v>
      </c>
      <c r="Q92">
        <v>31718</v>
      </c>
    </row>
    <row r="93" spans="1:17" x14ac:dyDescent="0.25">
      <c r="A93" s="29" t="str">
        <f>_xll.EVPRO("Finance",$C93,"Inv_Type")</f>
        <v>Inv_Equity</v>
      </c>
      <c r="B93" s="29" t="str">
        <f t="shared" si="2"/>
        <v>SHC of Bremen</v>
      </c>
      <c r="C93" s="29" t="str">
        <f t="shared" si="3"/>
        <v>S09141 - SHC of Bremen</v>
      </c>
      <c r="D93" s="31"/>
      <c r="E93" s="2" t="str">
        <f xml:space="preserve"> _xll.EPMOlapMemberO("[ACCOUNT].[H1].[T_EBITDAR]","","T_EBITDAR - EBITDAR","","000")</f>
        <v>T_EBITDAR - EBITDAR</v>
      </c>
      <c r="F93" s="233">
        <v>104155</v>
      </c>
      <c r="G93" s="233">
        <v>67790</v>
      </c>
      <c r="H93" s="233">
        <v>58313</v>
      </c>
      <c r="I93" s="233">
        <v>-191008</v>
      </c>
      <c r="J93">
        <v>126331</v>
      </c>
      <c r="K93">
        <v>25403</v>
      </c>
      <c r="L93">
        <v>126984</v>
      </c>
      <c r="M93">
        <v>125793</v>
      </c>
      <c r="N93">
        <v>159768</v>
      </c>
      <c r="O93">
        <v>98596</v>
      </c>
      <c r="P93">
        <v>72617</v>
      </c>
      <c r="Q93">
        <v>117069</v>
      </c>
    </row>
    <row r="94" spans="1:17" x14ac:dyDescent="0.25">
      <c r="A94" s="29" t="str">
        <f>_xll.EVPRO("Finance",$C94,"Inv_Type")</f>
        <v>Inv_Equity</v>
      </c>
      <c r="B94" s="29" t="str">
        <f t="shared" si="2"/>
        <v>SHC of Bremen</v>
      </c>
      <c r="C94" s="29" t="str">
        <f t="shared" si="3"/>
        <v>S09141 - SHC of Bremen</v>
      </c>
      <c r="D94" s="31"/>
      <c r="E94" s="2" t="str">
        <f xml:space="preserve"> _xll.EPMOlapMemberO("[ACCOUNT].[H1].[T_RENT_EXP]","","T_RENT_EXP - Tenant Rent Expense","","000")</f>
        <v>T_RENT_EXP - Tenant Rent Expense</v>
      </c>
      <c r="F94" s="233">
        <v>99775</v>
      </c>
      <c r="G94" s="233">
        <v>99775</v>
      </c>
      <c r="H94" s="233">
        <v>99775</v>
      </c>
      <c r="I94" s="233">
        <v>102270</v>
      </c>
      <c r="J94">
        <v>102270</v>
      </c>
      <c r="K94">
        <v>102270</v>
      </c>
      <c r="L94">
        <v>102270</v>
      </c>
      <c r="M94">
        <v>102270</v>
      </c>
      <c r="N94">
        <v>102270</v>
      </c>
      <c r="O94">
        <v>102270</v>
      </c>
      <c r="P94">
        <v>102270</v>
      </c>
      <c r="Q94">
        <v>102270</v>
      </c>
    </row>
    <row r="95" spans="1:17" x14ac:dyDescent="0.25">
      <c r="A95" s="29" t="str">
        <f>_xll.EVPRO("Finance",$C95,"Inv_Type")</f>
        <v>Inv_Equity</v>
      </c>
      <c r="B95" s="29" t="str">
        <f t="shared" si="2"/>
        <v>SHC of Muncie</v>
      </c>
      <c r="C95" s="29" t="str">
        <f t="shared" si="3"/>
        <v>S09142 - SHC of Muncie</v>
      </c>
      <c r="D95" s="31" t="str">
        <f xml:space="preserve"> _xll.EPMOlapMemberO("[ENTITY].[H1].[S09142]","","S09142 - SHC of Muncie","","000")</f>
        <v>S09142 - SHC of Muncie</v>
      </c>
      <c r="E95" s="31" t="str">
        <f xml:space="preserve"> _xll.EPMOlapMemberO("[ACCOUNT].[H1].[PAY_PAT_DAYS]","","PAY_PAT_DAYS - Total Payor Patient Days","","000")</f>
        <v>PAY_PAT_DAYS - Total Payor Patient Days</v>
      </c>
      <c r="F95" s="233">
        <v>3330</v>
      </c>
      <c r="G95" s="233">
        <v>3523</v>
      </c>
      <c r="H95" s="233">
        <v>3478</v>
      </c>
      <c r="I95" s="233">
        <v>3536</v>
      </c>
      <c r="J95">
        <v>3622</v>
      </c>
      <c r="K95">
        <v>3382</v>
      </c>
      <c r="L95">
        <v>3654</v>
      </c>
      <c r="M95">
        <v>3509</v>
      </c>
      <c r="N95">
        <v>3715</v>
      </c>
      <c r="O95">
        <v>3532</v>
      </c>
      <c r="P95">
        <v>3594</v>
      </c>
      <c r="Q95">
        <v>3635</v>
      </c>
    </row>
    <row r="96" spans="1:17" x14ac:dyDescent="0.25">
      <c r="A96" s="29" t="str">
        <f>_xll.EVPRO("Finance",$C96,"Inv_Type")</f>
        <v>Inv_Equity</v>
      </c>
      <c r="B96" s="29" t="str">
        <f t="shared" si="2"/>
        <v>SHC of Muncie</v>
      </c>
      <c r="C96" s="29" t="str">
        <f t="shared" si="3"/>
        <v>S09142 - SHC of Muncie</v>
      </c>
      <c r="D96" s="31"/>
      <c r="E96" s="2" t="str">
        <f xml:space="preserve"> _xll.EPMOlapMemberO("[ACCOUNT].[H1].[A_BEDS_TOTAL]","","A_BEDS_TOTAL - Total Available Beds","","000")</f>
        <v>A_BEDS_TOTAL - Total Available Beds</v>
      </c>
      <c r="F96" s="233">
        <v>140</v>
      </c>
      <c r="G96" s="233">
        <v>140</v>
      </c>
      <c r="H96" s="233">
        <v>140</v>
      </c>
      <c r="I96" s="233">
        <v>140</v>
      </c>
      <c r="J96">
        <v>140</v>
      </c>
      <c r="K96">
        <v>140</v>
      </c>
      <c r="L96">
        <v>140</v>
      </c>
      <c r="M96">
        <v>140</v>
      </c>
      <c r="N96">
        <v>140</v>
      </c>
      <c r="O96">
        <v>140</v>
      </c>
      <c r="P96">
        <v>140</v>
      </c>
      <c r="Q96">
        <v>140</v>
      </c>
    </row>
    <row r="97" spans="1:17" x14ac:dyDescent="0.25">
      <c r="A97" s="29" t="str">
        <f>_xll.EVPRO("Finance",$C97,"Inv_Type")</f>
        <v>Inv_Equity</v>
      </c>
      <c r="B97" s="29" t="str">
        <f t="shared" si="2"/>
        <v>SHC of Muncie</v>
      </c>
      <c r="C97" s="29" t="str">
        <f t="shared" si="3"/>
        <v>S09142 - SHC of Muncie</v>
      </c>
      <c r="D97" s="31"/>
      <c r="E97" s="15" t="str">
        <f xml:space="preserve"> _xll.EPMOlapMemberO("[ACCOUNT].[H1].[T_REVENUES]","","T_REVENUES - Total Tenant Revenues","","000")</f>
        <v>T_REVENUES - Total Tenant Revenues</v>
      </c>
      <c r="F97" s="233">
        <v>1241844</v>
      </c>
      <c r="G97" s="233">
        <v>1427657</v>
      </c>
      <c r="H97" s="233">
        <v>1419751</v>
      </c>
      <c r="I97" s="233">
        <v>1424273</v>
      </c>
      <c r="J97">
        <v>1385072</v>
      </c>
      <c r="K97">
        <v>1214078</v>
      </c>
      <c r="L97">
        <v>1244286</v>
      </c>
      <c r="M97">
        <v>1294377</v>
      </c>
      <c r="N97">
        <v>1281138</v>
      </c>
      <c r="O97">
        <v>1204104</v>
      </c>
      <c r="P97">
        <v>1191837</v>
      </c>
      <c r="Q97">
        <v>1263819</v>
      </c>
    </row>
    <row r="98" spans="1:17" x14ac:dyDescent="0.25">
      <c r="A98" s="29" t="str">
        <f>_xll.EVPRO("Finance",$C98,"Inv_Type")</f>
        <v>Inv_Equity</v>
      </c>
      <c r="B98" s="29" t="str">
        <f t="shared" si="2"/>
        <v>SHC of Muncie</v>
      </c>
      <c r="C98" s="29" t="str">
        <f t="shared" si="3"/>
        <v>S09142 - SHC of Muncie</v>
      </c>
      <c r="D98" s="31"/>
      <c r="E98" s="15" t="str">
        <f xml:space="preserve"> _xll.EPMOlapMemberO("[ACCOUNT].[H1].[T_OPEX]","","T_OPEX - Tenant Operating Expenses","","000")</f>
        <v>T_OPEX - Tenant Operating Expenses</v>
      </c>
      <c r="F98" s="233">
        <v>1066188</v>
      </c>
      <c r="G98" s="233">
        <v>1225525</v>
      </c>
      <c r="H98" s="233">
        <v>1188939</v>
      </c>
      <c r="I98" s="233">
        <v>1103244</v>
      </c>
      <c r="J98">
        <v>1078813</v>
      </c>
      <c r="K98">
        <v>993247</v>
      </c>
      <c r="L98">
        <v>973128</v>
      </c>
      <c r="M98">
        <v>881330</v>
      </c>
      <c r="N98">
        <v>822733</v>
      </c>
      <c r="O98">
        <v>1131107</v>
      </c>
      <c r="P98">
        <v>980858</v>
      </c>
      <c r="Q98">
        <v>1082937</v>
      </c>
    </row>
    <row r="99" spans="1:17" x14ac:dyDescent="0.25">
      <c r="A99" s="29" t="str">
        <f>_xll.EVPRO("Finance",$C99,"Inv_Type")</f>
        <v>Inv_Equity</v>
      </c>
      <c r="B99" s="29" t="str">
        <f t="shared" si="2"/>
        <v>SHC of Muncie</v>
      </c>
      <c r="C99" s="29" t="str">
        <f t="shared" si="3"/>
        <v>S09142 - SHC of Muncie</v>
      </c>
      <c r="D99" s="31"/>
      <c r="E99" s="2" t="str">
        <f xml:space="preserve"> _xll.EPMOlapMemberO("[ACCOUNT].[H1].[T_NON_OP_EXP]","","T_NON_OP_EXP - Tenant Non-Operating Expense","","000")</f>
        <v>T_NON_OP_EXP - Tenant Non-Operating Expense</v>
      </c>
      <c r="F99" s="233">
        <v>30558</v>
      </c>
      <c r="G99" s="233">
        <v>31629</v>
      </c>
      <c r="H99" s="233">
        <v>32039</v>
      </c>
      <c r="I99" s="233">
        <v>19439</v>
      </c>
      <c r="J99">
        <v>19116</v>
      </c>
      <c r="K99">
        <v>29892</v>
      </c>
      <c r="L99">
        <v>29134</v>
      </c>
      <c r="M99">
        <v>20087</v>
      </c>
      <c r="N99">
        <v>21303</v>
      </c>
      <c r="O99">
        <v>21779</v>
      </c>
      <c r="P99">
        <v>22348</v>
      </c>
      <c r="Q99">
        <v>481</v>
      </c>
    </row>
    <row r="100" spans="1:17" x14ac:dyDescent="0.25">
      <c r="A100" s="29" t="str">
        <f>_xll.EVPRO("Finance",$C100,"Inv_Type")</f>
        <v>Inv_Equity</v>
      </c>
      <c r="B100" s="29" t="str">
        <f t="shared" si="2"/>
        <v>SHC of Muncie</v>
      </c>
      <c r="C100" s="29" t="str">
        <f t="shared" si="3"/>
        <v>S09142 - SHC of Muncie</v>
      </c>
      <c r="D100" s="31"/>
      <c r="E100" s="16" t="str">
        <f xml:space="preserve"> _xll.EPMOlapMemberO("[ACCOUNT].[H1].[T_BAD_DEBT]","","T_BAD_DEBT - Tenant Bad Debt Expense","","000")</f>
        <v>T_BAD_DEBT - Tenant Bad Debt Expense</v>
      </c>
      <c r="F100" s="233">
        <v>214161</v>
      </c>
      <c r="G100" s="233">
        <v>123935</v>
      </c>
      <c r="H100" s="233">
        <v>80000</v>
      </c>
      <c r="I100" s="233">
        <v>110018</v>
      </c>
      <c r="J100">
        <v>38596</v>
      </c>
      <c r="K100">
        <v>45000</v>
      </c>
      <c r="P100">
        <v>5000</v>
      </c>
    </row>
    <row r="101" spans="1:17" x14ac:dyDescent="0.25">
      <c r="A101" s="29" t="str">
        <f>_xll.EVPRO("Finance",$C101,"Inv_Type")</f>
        <v>Inv_Equity</v>
      </c>
      <c r="B101" s="29" t="str">
        <f t="shared" si="2"/>
        <v>SHC of Muncie</v>
      </c>
      <c r="C101" s="29" t="str">
        <f t="shared" si="3"/>
        <v>S09142 - SHC of Muncie</v>
      </c>
      <c r="D101" s="31"/>
      <c r="E101" s="3" t="str">
        <f xml:space="preserve"> _xll.EPMOlapMemberO("[ACCOUNT].[H1].[T_EBITDARM]","","T_EBITDARM - EBITDARM","","000")</f>
        <v>T_EBITDARM - EBITDARM</v>
      </c>
      <c r="F101" s="233">
        <v>175656</v>
      </c>
      <c r="G101" s="233">
        <v>202132</v>
      </c>
      <c r="H101" s="233">
        <v>230812</v>
      </c>
      <c r="I101" s="233">
        <v>321029</v>
      </c>
      <c r="J101">
        <v>306259</v>
      </c>
      <c r="K101">
        <v>220831</v>
      </c>
      <c r="L101">
        <v>271158</v>
      </c>
      <c r="M101">
        <v>413047</v>
      </c>
      <c r="N101">
        <v>458405</v>
      </c>
      <c r="O101">
        <v>72997</v>
      </c>
      <c r="P101">
        <v>210979</v>
      </c>
      <c r="Q101">
        <v>180882</v>
      </c>
    </row>
    <row r="102" spans="1:17" x14ac:dyDescent="0.25">
      <c r="A102" s="29" t="str">
        <f>_xll.EVPRO("Finance",$C102,"Inv_Type")</f>
        <v>Inv_Equity</v>
      </c>
      <c r="B102" s="29" t="str">
        <f t="shared" si="2"/>
        <v>SHC of Muncie</v>
      </c>
      <c r="C102" s="29" t="str">
        <f t="shared" si="3"/>
        <v>S09142 - SHC of Muncie</v>
      </c>
      <c r="D102" s="31"/>
      <c r="E102" s="3" t="str">
        <f xml:space="preserve"> _xll.EPMOlapMemberO("[ACCOUNT].[H1].[T_MGMT_FEE]","","T_MGMT_FEE - Tenant Management Fee - Actual","","000")</f>
        <v>T_MGMT_FEE - Tenant Management Fee - Actual</v>
      </c>
      <c r="F102" s="233">
        <v>61863</v>
      </c>
      <c r="G102" s="233">
        <v>72097</v>
      </c>
      <c r="H102" s="233">
        <v>71697</v>
      </c>
      <c r="I102" s="233">
        <v>60369</v>
      </c>
      <c r="J102">
        <v>69946</v>
      </c>
      <c r="K102">
        <v>61311</v>
      </c>
      <c r="L102">
        <v>62836</v>
      </c>
      <c r="M102">
        <v>65366</v>
      </c>
      <c r="N102">
        <v>64697</v>
      </c>
      <c r="O102">
        <v>60807</v>
      </c>
      <c r="P102">
        <v>60188</v>
      </c>
      <c r="Q102">
        <v>63823</v>
      </c>
    </row>
    <row r="103" spans="1:17" x14ac:dyDescent="0.25">
      <c r="A103" s="29" t="str">
        <f>_xll.EVPRO("Finance",$C103,"Inv_Type")</f>
        <v>Inv_Equity</v>
      </c>
      <c r="B103" s="29" t="str">
        <f t="shared" si="2"/>
        <v>SHC of Muncie</v>
      </c>
      <c r="C103" s="29" t="str">
        <f t="shared" si="3"/>
        <v>S09142 - SHC of Muncie</v>
      </c>
      <c r="D103" s="31"/>
      <c r="E103" s="2" t="str">
        <f xml:space="preserve"> _xll.EPMOlapMemberO("[ACCOUNT].[H1].[T_EBITDAR]","","T_EBITDAR - EBITDAR","","000")</f>
        <v>T_EBITDAR - EBITDAR</v>
      </c>
      <c r="F103" s="233">
        <v>113793</v>
      </c>
      <c r="G103" s="233">
        <v>130035</v>
      </c>
      <c r="H103" s="233">
        <v>159115</v>
      </c>
      <c r="I103" s="233">
        <v>260660</v>
      </c>
      <c r="J103">
        <v>236313</v>
      </c>
      <c r="K103">
        <v>159520</v>
      </c>
      <c r="L103">
        <v>208322</v>
      </c>
      <c r="M103">
        <v>347681</v>
      </c>
      <c r="N103">
        <v>393708</v>
      </c>
      <c r="O103">
        <v>12190</v>
      </c>
      <c r="P103">
        <v>150791</v>
      </c>
      <c r="Q103">
        <v>117059</v>
      </c>
    </row>
    <row r="104" spans="1:17" x14ac:dyDescent="0.25">
      <c r="A104" s="29" t="str">
        <f>_xll.EVPRO("Finance",$C104,"Inv_Type")</f>
        <v>Inv_Equity</v>
      </c>
      <c r="B104" s="29" t="str">
        <f t="shared" si="2"/>
        <v>SHC of Muncie</v>
      </c>
      <c r="C104" s="29" t="str">
        <f t="shared" si="3"/>
        <v>S09142 - SHC of Muncie</v>
      </c>
      <c r="D104" s="31"/>
      <c r="E104" s="2" t="str">
        <f xml:space="preserve"> _xll.EPMOlapMemberO("[ACCOUNT].[H1].[T_RENT_EXP]","","T_RENT_EXP - Tenant Rent Expense","","000")</f>
        <v>T_RENT_EXP - Tenant Rent Expense</v>
      </c>
      <c r="F104" s="233">
        <v>387217</v>
      </c>
      <c r="G104" s="233">
        <v>387217</v>
      </c>
      <c r="H104" s="233">
        <v>387217</v>
      </c>
      <c r="I104" s="233">
        <v>396898</v>
      </c>
      <c r="J104">
        <v>396898</v>
      </c>
      <c r="K104">
        <v>396898</v>
      </c>
      <c r="L104">
        <v>396898</v>
      </c>
      <c r="M104">
        <v>396898</v>
      </c>
      <c r="N104">
        <v>396898</v>
      </c>
      <c r="O104">
        <v>396898</v>
      </c>
      <c r="P104">
        <v>396898</v>
      </c>
      <c r="Q104">
        <v>396898</v>
      </c>
    </row>
    <row r="105" spans="1:17" x14ac:dyDescent="0.25">
      <c r="A105" s="29" t="str">
        <f>_xll.EVPRO("Finance",$C105,"Inv_Type")</f>
        <v>Inv_Equity</v>
      </c>
      <c r="B105" s="29" t="str">
        <f t="shared" si="2"/>
        <v>SHC at Parkwood</v>
      </c>
      <c r="C105" s="29" t="str">
        <f t="shared" si="3"/>
        <v>S09143 - SHC at Parkwood</v>
      </c>
      <c r="D105" s="31" t="str">
        <f xml:space="preserve"> _xll.EPMOlapMemberO("[ENTITY].[H1].[S09143]","","S09143 - SHC at Parkwood","","000")</f>
        <v>S09143 - SHC at Parkwood</v>
      </c>
      <c r="E105" s="31" t="str">
        <f xml:space="preserve"> _xll.EPMOlapMemberO("[ACCOUNT].[H1].[PAY_PAT_DAYS]","","PAY_PAT_DAYS - Total Payor Patient Days","","000")</f>
        <v>PAY_PAT_DAYS - Total Payor Patient Days</v>
      </c>
      <c r="F105" s="233">
        <v>2067</v>
      </c>
      <c r="G105" s="233">
        <v>1992</v>
      </c>
      <c r="H105" s="233">
        <v>1956</v>
      </c>
      <c r="I105" s="233">
        <v>2071</v>
      </c>
      <c r="J105">
        <v>1962</v>
      </c>
      <c r="K105">
        <v>1792</v>
      </c>
      <c r="L105">
        <v>2129</v>
      </c>
      <c r="M105">
        <v>2018</v>
      </c>
      <c r="N105">
        <v>2044</v>
      </c>
      <c r="O105">
        <v>1942</v>
      </c>
      <c r="P105">
        <v>2049</v>
      </c>
      <c r="Q105">
        <v>1966</v>
      </c>
    </row>
    <row r="106" spans="1:17" x14ac:dyDescent="0.25">
      <c r="A106" s="29" t="str">
        <f>_xll.EVPRO("Finance",$C106,"Inv_Type")</f>
        <v>Inv_Equity</v>
      </c>
      <c r="B106" s="29" t="str">
        <f t="shared" si="2"/>
        <v>SHC at Parkwood</v>
      </c>
      <c r="C106" s="29" t="str">
        <f t="shared" si="3"/>
        <v>S09143 - SHC at Parkwood</v>
      </c>
      <c r="D106" s="31"/>
      <c r="E106" s="2" t="str">
        <f xml:space="preserve"> _xll.EPMOlapMemberO("[ACCOUNT].[H1].[A_BEDS_TOTAL]","","A_BEDS_TOTAL - Total Available Beds","","000")</f>
        <v>A_BEDS_TOTAL - Total Available Beds</v>
      </c>
      <c r="F106" s="233">
        <v>106</v>
      </c>
      <c r="G106" s="233">
        <v>106</v>
      </c>
      <c r="H106" s="233">
        <v>106</v>
      </c>
      <c r="I106" s="233">
        <v>106</v>
      </c>
      <c r="J106">
        <v>106</v>
      </c>
      <c r="K106">
        <v>106</v>
      </c>
      <c r="L106">
        <v>106</v>
      </c>
      <c r="M106">
        <v>106</v>
      </c>
      <c r="N106">
        <v>106</v>
      </c>
      <c r="O106">
        <v>106</v>
      </c>
      <c r="P106">
        <v>106</v>
      </c>
      <c r="Q106">
        <v>106</v>
      </c>
    </row>
    <row r="107" spans="1:17" x14ac:dyDescent="0.25">
      <c r="A107" s="29" t="str">
        <f>_xll.EVPRO("Finance",$C107,"Inv_Type")</f>
        <v>Inv_Equity</v>
      </c>
      <c r="B107" s="29" t="str">
        <f t="shared" si="2"/>
        <v>SHC at Parkwood</v>
      </c>
      <c r="C107" s="29" t="str">
        <f t="shared" si="3"/>
        <v>S09143 - SHC at Parkwood</v>
      </c>
      <c r="D107" s="31"/>
      <c r="E107" s="15" t="str">
        <f xml:space="preserve"> _xll.EPMOlapMemberO("[ACCOUNT].[H1].[T_REVENUES]","","T_REVENUES - Total Tenant Revenues","","000")</f>
        <v>T_REVENUES - Total Tenant Revenues</v>
      </c>
      <c r="F107" s="233">
        <v>765440</v>
      </c>
      <c r="G107" s="233">
        <v>869879</v>
      </c>
      <c r="H107" s="233">
        <v>871688</v>
      </c>
      <c r="I107" s="233">
        <v>416080</v>
      </c>
      <c r="J107">
        <v>790850</v>
      </c>
      <c r="K107">
        <v>689000</v>
      </c>
      <c r="L107">
        <v>745988</v>
      </c>
      <c r="M107">
        <v>715958</v>
      </c>
      <c r="N107">
        <v>764613</v>
      </c>
      <c r="O107">
        <v>723462</v>
      </c>
      <c r="P107">
        <v>675174</v>
      </c>
      <c r="Q107">
        <v>737124</v>
      </c>
    </row>
    <row r="108" spans="1:17" x14ac:dyDescent="0.25">
      <c r="A108" s="29" t="str">
        <f>_xll.EVPRO("Finance",$C108,"Inv_Type")</f>
        <v>Inv_Equity</v>
      </c>
      <c r="B108" s="29" t="str">
        <f t="shared" si="2"/>
        <v>SHC at Parkwood</v>
      </c>
      <c r="C108" s="29" t="str">
        <f t="shared" si="3"/>
        <v>S09143 - SHC at Parkwood</v>
      </c>
      <c r="D108" s="31"/>
      <c r="E108" s="15" t="str">
        <f xml:space="preserve"> _xll.EPMOlapMemberO("[ACCOUNT].[H1].[T_OPEX]","","T_OPEX - Tenant Operating Expenses","","000")</f>
        <v>T_OPEX - Tenant Operating Expenses</v>
      </c>
      <c r="F108" s="233">
        <v>525582</v>
      </c>
      <c r="G108" s="233">
        <v>544259</v>
      </c>
      <c r="H108" s="233">
        <v>605960</v>
      </c>
      <c r="I108" s="233">
        <v>586458</v>
      </c>
      <c r="J108">
        <v>537307</v>
      </c>
      <c r="K108">
        <v>501909</v>
      </c>
      <c r="L108">
        <v>551961</v>
      </c>
      <c r="M108">
        <v>518221</v>
      </c>
      <c r="N108">
        <v>524229</v>
      </c>
      <c r="O108">
        <v>638694</v>
      </c>
      <c r="P108">
        <v>674438</v>
      </c>
      <c r="Q108">
        <v>691205</v>
      </c>
    </row>
    <row r="109" spans="1:17" x14ac:dyDescent="0.25">
      <c r="A109" s="29" t="str">
        <f>_xll.EVPRO("Finance",$C109,"Inv_Type")</f>
        <v>Inv_Equity</v>
      </c>
      <c r="B109" s="29" t="str">
        <f t="shared" si="2"/>
        <v>SHC at Parkwood</v>
      </c>
      <c r="C109" s="29" t="str">
        <f t="shared" si="3"/>
        <v>S09143 - SHC at Parkwood</v>
      </c>
      <c r="D109" s="31"/>
      <c r="E109" s="2" t="str">
        <f xml:space="preserve"> _xll.EPMOlapMemberO("[ACCOUNT].[H1].[T_NON_OP_EXP]","","T_NON_OP_EXP - Tenant Non-Operating Expense","","000")</f>
        <v>T_NON_OP_EXP - Tenant Non-Operating Expense</v>
      </c>
      <c r="F109" s="233">
        <v>18277</v>
      </c>
      <c r="G109" s="233">
        <v>18355</v>
      </c>
      <c r="H109" s="233">
        <v>17880</v>
      </c>
      <c r="I109" s="233">
        <v>11247</v>
      </c>
      <c r="J109">
        <v>11199</v>
      </c>
      <c r="K109">
        <v>11374</v>
      </c>
      <c r="L109">
        <v>11325</v>
      </c>
      <c r="M109">
        <v>12119</v>
      </c>
      <c r="N109">
        <v>12317</v>
      </c>
      <c r="O109">
        <v>12741</v>
      </c>
      <c r="P109">
        <v>13086</v>
      </c>
      <c r="Q109">
        <v>12563</v>
      </c>
    </row>
    <row r="110" spans="1:17" x14ac:dyDescent="0.25">
      <c r="A110" s="29" t="str">
        <f>_xll.EVPRO("Finance",$C110,"Inv_Type")</f>
        <v>Inv_Equity</v>
      </c>
      <c r="B110" s="29" t="str">
        <f t="shared" si="2"/>
        <v>SHC at Parkwood</v>
      </c>
      <c r="C110" s="29" t="str">
        <f t="shared" si="3"/>
        <v>S09143 - SHC at Parkwood</v>
      </c>
      <c r="D110" s="31"/>
      <c r="E110" s="16" t="str">
        <f xml:space="preserve"> _xll.EPMOlapMemberO("[ACCOUNT].[H1].[T_BAD_DEBT]","","T_BAD_DEBT - Tenant Bad Debt Expense","","000")</f>
        <v>T_BAD_DEBT - Tenant Bad Debt Expense</v>
      </c>
      <c r="F110" s="233">
        <v>7021</v>
      </c>
      <c r="G110" s="233">
        <v>-10717</v>
      </c>
      <c r="H110" s="233">
        <v>30000</v>
      </c>
      <c r="I110" s="233">
        <v>7736</v>
      </c>
      <c r="J110">
        <v>9203</v>
      </c>
      <c r="K110">
        <v>6000</v>
      </c>
    </row>
    <row r="111" spans="1:17" x14ac:dyDescent="0.25">
      <c r="A111" s="29" t="str">
        <f>_xll.EVPRO("Finance",$C111,"Inv_Type")</f>
        <v>Inv_Equity</v>
      </c>
      <c r="B111" s="29" t="str">
        <f t="shared" si="2"/>
        <v>SHC at Parkwood</v>
      </c>
      <c r="C111" s="29" t="str">
        <f t="shared" si="3"/>
        <v>S09143 - SHC at Parkwood</v>
      </c>
      <c r="D111" s="31"/>
      <c r="E111" s="3" t="str">
        <f xml:space="preserve"> _xll.EPMOlapMemberO("[ACCOUNT].[H1].[T_EBITDARM]","","T_EBITDARM - EBITDARM","","000")</f>
        <v>T_EBITDARM - EBITDARM</v>
      </c>
      <c r="F111" s="233">
        <v>239858</v>
      </c>
      <c r="G111" s="233">
        <v>325620</v>
      </c>
      <c r="H111" s="233">
        <v>265728</v>
      </c>
      <c r="I111" s="233">
        <v>-170378</v>
      </c>
      <c r="J111">
        <v>253543</v>
      </c>
      <c r="K111">
        <v>187091</v>
      </c>
      <c r="L111">
        <v>194027</v>
      </c>
      <c r="M111">
        <v>197737</v>
      </c>
      <c r="N111">
        <v>240384</v>
      </c>
      <c r="O111">
        <v>84768</v>
      </c>
      <c r="P111">
        <v>736</v>
      </c>
      <c r="Q111">
        <v>45919</v>
      </c>
    </row>
    <row r="112" spans="1:17" x14ac:dyDescent="0.25">
      <c r="A112" s="29" t="str">
        <f>_xll.EVPRO("Finance",$C112,"Inv_Type")</f>
        <v>Inv_Equity</v>
      </c>
      <c r="B112" s="29" t="str">
        <f t="shared" si="2"/>
        <v>SHC at Parkwood</v>
      </c>
      <c r="C112" s="29" t="str">
        <f t="shared" si="3"/>
        <v>S09143 - SHC at Parkwood</v>
      </c>
      <c r="D112" s="31"/>
      <c r="E112" s="3" t="str">
        <f xml:space="preserve"> _xll.EPMOlapMemberO("[ACCOUNT].[H1].[T_MGMT_FEE]","","T_MGMT_FEE - Tenant Management Fee - Actual","","000")</f>
        <v>T_MGMT_FEE - Tenant Management Fee - Actual</v>
      </c>
      <c r="F112" s="233">
        <v>38323</v>
      </c>
      <c r="G112" s="233">
        <v>43929</v>
      </c>
      <c r="H112" s="233">
        <v>44020</v>
      </c>
      <c r="I112" s="233">
        <v>21012</v>
      </c>
      <c r="J112">
        <v>39938</v>
      </c>
      <c r="K112">
        <v>34794</v>
      </c>
      <c r="L112">
        <v>37672</v>
      </c>
      <c r="M112">
        <v>36156</v>
      </c>
      <c r="N112">
        <v>38613</v>
      </c>
      <c r="O112">
        <v>36535</v>
      </c>
      <c r="P112">
        <v>34096</v>
      </c>
      <c r="Q112">
        <v>37225</v>
      </c>
    </row>
    <row r="113" spans="1:17" x14ac:dyDescent="0.25">
      <c r="A113" s="29" t="str">
        <f>_xll.EVPRO("Finance",$C113,"Inv_Type")</f>
        <v>Inv_Equity</v>
      </c>
      <c r="B113" s="29" t="str">
        <f t="shared" si="2"/>
        <v>SHC at Parkwood</v>
      </c>
      <c r="C113" s="29" t="str">
        <f t="shared" si="3"/>
        <v>S09143 - SHC at Parkwood</v>
      </c>
      <c r="D113" s="31"/>
      <c r="E113" s="2" t="str">
        <f xml:space="preserve"> _xll.EPMOlapMemberO("[ACCOUNT].[H1].[T_EBITDAR]","","T_EBITDAR - EBITDAR","","000")</f>
        <v>T_EBITDAR - EBITDAR</v>
      </c>
      <c r="F113" s="233">
        <v>201535</v>
      </c>
      <c r="G113" s="233">
        <v>281691</v>
      </c>
      <c r="H113" s="233">
        <v>221708</v>
      </c>
      <c r="I113" s="233">
        <v>-191390</v>
      </c>
      <c r="J113">
        <v>213605</v>
      </c>
      <c r="K113">
        <v>152297</v>
      </c>
      <c r="L113">
        <v>156355</v>
      </c>
      <c r="M113">
        <v>161581</v>
      </c>
      <c r="N113">
        <v>201771</v>
      </c>
      <c r="O113">
        <v>48233</v>
      </c>
      <c r="P113">
        <v>-33360</v>
      </c>
      <c r="Q113">
        <v>8694</v>
      </c>
    </row>
    <row r="114" spans="1:17" x14ac:dyDescent="0.25">
      <c r="A114" s="29" t="str">
        <f>_xll.EVPRO("Finance",$C114,"Inv_Type")</f>
        <v>Inv_Equity</v>
      </c>
      <c r="B114" s="29" t="str">
        <f t="shared" si="2"/>
        <v>SHC at Parkwood</v>
      </c>
      <c r="C114" s="29" t="str">
        <f t="shared" si="3"/>
        <v>S09143 - SHC at Parkwood</v>
      </c>
      <c r="D114" s="31"/>
      <c r="E114" s="2" t="str">
        <f xml:space="preserve"> _xll.EPMOlapMemberO("[ACCOUNT].[H1].[T_RENT_EXP]","","T_RENT_EXP - Tenant Rent Expense","","000")</f>
        <v>T_RENT_EXP - Tenant Rent Expense</v>
      </c>
      <c r="F114" s="233">
        <v>212855</v>
      </c>
      <c r="G114" s="233">
        <v>212855</v>
      </c>
      <c r="H114" s="233">
        <v>212855</v>
      </c>
      <c r="I114" s="233">
        <v>218176</v>
      </c>
      <c r="J114">
        <v>218176</v>
      </c>
      <c r="K114">
        <v>218176</v>
      </c>
      <c r="L114">
        <v>218176</v>
      </c>
      <c r="M114">
        <v>218176</v>
      </c>
      <c r="N114">
        <v>218176</v>
      </c>
      <c r="O114">
        <v>218176</v>
      </c>
      <c r="P114">
        <v>218176</v>
      </c>
      <c r="Q114">
        <v>218176</v>
      </c>
    </row>
    <row r="115" spans="1:17" x14ac:dyDescent="0.25">
      <c r="A115" s="29" t="str">
        <f>_xll.EVPRO("Finance",$C115,"Inv_Type")</f>
        <v>Inv_Equity</v>
      </c>
      <c r="B115" s="29" t="str">
        <f t="shared" si="2"/>
        <v>SHC at Tower Road</v>
      </c>
      <c r="C115" s="29" t="str">
        <f t="shared" si="3"/>
        <v>S09144 - SHC at Tower Road</v>
      </c>
      <c r="D115" s="31" t="str">
        <f xml:space="preserve"> _xll.EPMOlapMemberO("[ENTITY].[H1].[S09144]","","S09144 - SHC at Tower Road","","000")</f>
        <v>S09144 - SHC at Tower Road</v>
      </c>
      <c r="E115" s="31" t="str">
        <f xml:space="preserve"> _xll.EPMOlapMemberO("[ACCOUNT].[H1].[PAY_PAT_DAYS]","","PAY_PAT_DAYS - Total Payor Patient Days","","000")</f>
        <v>PAY_PAT_DAYS - Total Payor Patient Days</v>
      </c>
      <c r="F115" s="233">
        <v>2969</v>
      </c>
      <c r="G115" s="233">
        <v>3257</v>
      </c>
      <c r="H115" s="233">
        <v>3124</v>
      </c>
      <c r="I115" s="233">
        <v>3507</v>
      </c>
      <c r="J115">
        <v>3652</v>
      </c>
      <c r="K115">
        <v>3260</v>
      </c>
      <c r="L115">
        <v>3613</v>
      </c>
      <c r="M115">
        <v>3215</v>
      </c>
      <c r="N115">
        <v>3710</v>
      </c>
      <c r="O115">
        <v>3522</v>
      </c>
      <c r="P115">
        <v>3487</v>
      </c>
      <c r="Q115">
        <v>3556</v>
      </c>
    </row>
    <row r="116" spans="1:17" x14ac:dyDescent="0.25">
      <c r="A116" s="29" t="str">
        <f>_xll.EVPRO("Finance",$C116,"Inv_Type")</f>
        <v>Inv_Equity</v>
      </c>
      <c r="B116" s="29" t="str">
        <f t="shared" si="2"/>
        <v>SHC at Tower Road</v>
      </c>
      <c r="C116" s="29" t="str">
        <f t="shared" si="3"/>
        <v>S09144 - SHC at Tower Road</v>
      </c>
      <c r="D116" s="31"/>
      <c r="E116" s="2" t="str">
        <f xml:space="preserve"> _xll.EPMOlapMemberO("[ACCOUNT].[H1].[A_BEDS_TOTAL]","","A_BEDS_TOTAL - Total Available Beds","","000")</f>
        <v>A_BEDS_TOTAL - Total Available Beds</v>
      </c>
      <c r="F116" s="233">
        <v>125</v>
      </c>
      <c r="G116" s="233">
        <v>125</v>
      </c>
      <c r="H116" s="233">
        <v>125</v>
      </c>
      <c r="I116" s="233">
        <v>125</v>
      </c>
      <c r="J116">
        <v>125</v>
      </c>
      <c r="K116">
        <v>125</v>
      </c>
      <c r="L116">
        <v>125</v>
      </c>
      <c r="M116">
        <v>125</v>
      </c>
      <c r="N116">
        <v>125</v>
      </c>
      <c r="O116">
        <v>125</v>
      </c>
      <c r="P116">
        <v>125</v>
      </c>
      <c r="Q116">
        <v>125</v>
      </c>
    </row>
    <row r="117" spans="1:17" x14ac:dyDescent="0.25">
      <c r="A117" s="29" t="str">
        <f>_xll.EVPRO("Finance",$C117,"Inv_Type")</f>
        <v>Inv_Equity</v>
      </c>
      <c r="B117" s="29" t="str">
        <f t="shared" si="2"/>
        <v>SHC at Tower Road</v>
      </c>
      <c r="C117" s="29" t="str">
        <f t="shared" si="3"/>
        <v>S09144 - SHC at Tower Road</v>
      </c>
      <c r="D117" s="31"/>
      <c r="E117" s="15" t="str">
        <f xml:space="preserve"> _xll.EPMOlapMemberO("[ACCOUNT].[H1].[T_REVENUES]","","T_REVENUES - Total Tenant Revenues","","000")</f>
        <v>T_REVENUES - Total Tenant Revenues</v>
      </c>
      <c r="F117" s="233">
        <v>1187694</v>
      </c>
      <c r="G117" s="233">
        <v>1216384</v>
      </c>
      <c r="H117" s="233">
        <v>1204223</v>
      </c>
      <c r="I117" s="233">
        <v>1713005</v>
      </c>
      <c r="J117">
        <v>1413834</v>
      </c>
      <c r="K117">
        <v>1209500</v>
      </c>
      <c r="L117">
        <v>1466071</v>
      </c>
      <c r="M117">
        <v>1179645</v>
      </c>
      <c r="N117">
        <v>1339457</v>
      </c>
      <c r="O117">
        <v>1254072</v>
      </c>
      <c r="P117">
        <v>1200282</v>
      </c>
      <c r="Q117">
        <v>1283139</v>
      </c>
    </row>
    <row r="118" spans="1:17" x14ac:dyDescent="0.25">
      <c r="A118" s="29" t="str">
        <f>_xll.EVPRO("Finance",$C118,"Inv_Type")</f>
        <v>Inv_Equity</v>
      </c>
      <c r="B118" s="29" t="str">
        <f t="shared" si="2"/>
        <v>SHC at Tower Road</v>
      </c>
      <c r="C118" s="29" t="str">
        <f t="shared" si="3"/>
        <v>S09144 - SHC at Tower Road</v>
      </c>
      <c r="D118" s="31"/>
      <c r="E118" s="15" t="str">
        <f xml:space="preserve"> _xll.EPMOlapMemberO("[ACCOUNT].[H1].[T_OPEX]","","T_OPEX - Tenant Operating Expenses","","000")</f>
        <v>T_OPEX - Tenant Operating Expenses</v>
      </c>
      <c r="F118" s="233">
        <v>1130063</v>
      </c>
      <c r="G118" s="233">
        <v>1065882</v>
      </c>
      <c r="H118" s="233">
        <v>1080038</v>
      </c>
      <c r="I118" s="233">
        <v>1260793</v>
      </c>
      <c r="J118">
        <v>1104607</v>
      </c>
      <c r="K118">
        <v>1050873</v>
      </c>
      <c r="L118">
        <v>1011503</v>
      </c>
      <c r="M118">
        <v>886295</v>
      </c>
      <c r="N118">
        <v>948338</v>
      </c>
      <c r="O118">
        <v>978082</v>
      </c>
      <c r="P118">
        <v>943276</v>
      </c>
      <c r="Q118">
        <v>970269</v>
      </c>
    </row>
    <row r="119" spans="1:17" x14ac:dyDescent="0.25">
      <c r="A119" s="29" t="str">
        <f>_xll.EVPRO("Finance",$C119,"Inv_Type")</f>
        <v>Inv_Equity</v>
      </c>
      <c r="B119" s="29" t="str">
        <f t="shared" si="2"/>
        <v>SHC at Tower Road</v>
      </c>
      <c r="C119" s="29" t="str">
        <f t="shared" si="3"/>
        <v>S09144 - SHC at Tower Road</v>
      </c>
      <c r="D119" s="31"/>
      <c r="E119" s="2" t="str">
        <f xml:space="preserve"> _xll.EPMOlapMemberO("[ACCOUNT].[H1].[T_NON_OP_EXP]","","T_NON_OP_EXP - Tenant Non-Operating Expense","","000")</f>
        <v>T_NON_OP_EXP - Tenant Non-Operating Expense</v>
      </c>
      <c r="F119" s="233">
        <v>28392</v>
      </c>
      <c r="G119" s="233">
        <v>29387</v>
      </c>
      <c r="H119" s="233">
        <v>28894</v>
      </c>
      <c r="I119" s="233">
        <v>21938</v>
      </c>
      <c r="J119">
        <v>23359</v>
      </c>
      <c r="K119">
        <v>23973</v>
      </c>
      <c r="L119">
        <v>22894</v>
      </c>
      <c r="M119">
        <v>24442</v>
      </c>
      <c r="N119">
        <v>23356</v>
      </c>
      <c r="O119">
        <v>24711</v>
      </c>
      <c r="P119">
        <v>25185</v>
      </c>
      <c r="Q119">
        <v>24506</v>
      </c>
    </row>
    <row r="120" spans="1:17" x14ac:dyDescent="0.25">
      <c r="A120" s="29" t="str">
        <f>_xll.EVPRO("Finance",$C120,"Inv_Type")</f>
        <v>Inv_Equity</v>
      </c>
      <c r="B120" s="29" t="str">
        <f t="shared" si="2"/>
        <v>SHC at Tower Road</v>
      </c>
      <c r="C120" s="29" t="str">
        <f t="shared" si="3"/>
        <v>S09144 - SHC at Tower Road</v>
      </c>
      <c r="D120" s="31"/>
      <c r="E120" s="16" t="str">
        <f xml:space="preserve"> _xll.EPMOlapMemberO("[ACCOUNT].[H1].[T_BAD_DEBT]","","T_BAD_DEBT - Tenant Bad Debt Expense","","000")</f>
        <v>T_BAD_DEBT - Tenant Bad Debt Expense</v>
      </c>
      <c r="F120" s="233">
        <v>96793</v>
      </c>
      <c r="G120" s="233">
        <v>65424</v>
      </c>
      <c r="H120" s="233">
        <v>66553</v>
      </c>
      <c r="I120" s="233">
        <v>34102</v>
      </c>
      <c r="J120">
        <v>34488</v>
      </c>
      <c r="K120">
        <v>34488</v>
      </c>
      <c r="M120">
        <v>7312</v>
      </c>
      <c r="O120">
        <v>30084</v>
      </c>
      <c r="P120">
        <v>5000</v>
      </c>
      <c r="Q120">
        <v>5000</v>
      </c>
    </row>
    <row r="121" spans="1:17" x14ac:dyDescent="0.25">
      <c r="A121" s="29" t="str">
        <f>_xll.EVPRO("Finance",$C121,"Inv_Type")</f>
        <v>Inv_Equity</v>
      </c>
      <c r="B121" s="29" t="str">
        <f t="shared" si="2"/>
        <v>SHC at Tower Road</v>
      </c>
      <c r="C121" s="29" t="str">
        <f t="shared" si="3"/>
        <v>S09144 - SHC at Tower Road</v>
      </c>
      <c r="D121" s="31"/>
      <c r="E121" s="3" t="str">
        <f xml:space="preserve"> _xll.EPMOlapMemberO("[ACCOUNT].[H1].[T_EBITDARM]","","T_EBITDARM - EBITDARM","","000")</f>
        <v>T_EBITDARM - EBITDARM</v>
      </c>
      <c r="F121" s="233">
        <v>57631</v>
      </c>
      <c r="G121" s="233">
        <v>150502</v>
      </c>
      <c r="H121" s="233">
        <v>124185</v>
      </c>
      <c r="I121" s="233">
        <v>452212</v>
      </c>
      <c r="J121">
        <v>309227</v>
      </c>
      <c r="K121">
        <v>158627</v>
      </c>
      <c r="L121">
        <v>454568</v>
      </c>
      <c r="M121">
        <v>293350</v>
      </c>
      <c r="N121">
        <v>391119</v>
      </c>
      <c r="O121">
        <v>275990</v>
      </c>
      <c r="P121">
        <v>257006</v>
      </c>
      <c r="Q121">
        <v>312870</v>
      </c>
    </row>
    <row r="122" spans="1:17" x14ac:dyDescent="0.25">
      <c r="A122" s="29" t="str">
        <f>_xll.EVPRO("Finance",$C122,"Inv_Type")</f>
        <v>Inv_Equity</v>
      </c>
      <c r="B122" s="29" t="str">
        <f t="shared" si="2"/>
        <v>SHC at Tower Road</v>
      </c>
      <c r="C122" s="29" t="str">
        <f t="shared" si="3"/>
        <v>S09144 - SHC at Tower Road</v>
      </c>
      <c r="D122" s="31"/>
      <c r="E122" s="3" t="str">
        <f xml:space="preserve"> _xll.EPMOlapMemberO("[ACCOUNT].[H1].[T_MGMT_FEE]","","T_MGMT_FEE - Tenant Management Fee - Actual","","000")</f>
        <v>T_MGMT_FEE - Tenant Management Fee - Actual</v>
      </c>
      <c r="F122" s="233">
        <v>59663</v>
      </c>
      <c r="G122" s="233">
        <v>61427</v>
      </c>
      <c r="H122" s="233">
        <v>60813</v>
      </c>
      <c r="I122" s="233">
        <v>86770</v>
      </c>
      <c r="J122">
        <v>71399</v>
      </c>
      <c r="K122">
        <v>61080</v>
      </c>
      <c r="L122">
        <v>74037</v>
      </c>
      <c r="M122">
        <v>59572</v>
      </c>
      <c r="N122">
        <v>67643</v>
      </c>
      <c r="O122">
        <v>63331</v>
      </c>
      <c r="P122">
        <v>60614</v>
      </c>
      <c r="Q122">
        <v>64799</v>
      </c>
    </row>
    <row r="123" spans="1:17" x14ac:dyDescent="0.25">
      <c r="A123" s="29" t="str">
        <f>_xll.EVPRO("Finance",$C123,"Inv_Type")</f>
        <v>Inv_Equity</v>
      </c>
      <c r="B123" s="29" t="str">
        <f t="shared" ref="B123:B186" si="4">MID($C123,FIND("- ",$C123)+2,10000)</f>
        <v>SHC at Tower Road</v>
      </c>
      <c r="C123" s="29" t="str">
        <f t="shared" si="3"/>
        <v>S09144 - SHC at Tower Road</v>
      </c>
      <c r="D123" s="31"/>
      <c r="E123" s="2" t="str">
        <f xml:space="preserve"> _xll.EPMOlapMemberO("[ACCOUNT].[H1].[T_EBITDAR]","","T_EBITDAR - EBITDAR","","000")</f>
        <v>T_EBITDAR - EBITDAR</v>
      </c>
      <c r="F123" s="233">
        <v>-2032</v>
      </c>
      <c r="G123" s="233">
        <v>89075</v>
      </c>
      <c r="H123" s="233">
        <v>63372</v>
      </c>
      <c r="I123" s="233">
        <v>365442</v>
      </c>
      <c r="J123">
        <v>237828</v>
      </c>
      <c r="K123">
        <v>97547</v>
      </c>
      <c r="L123">
        <v>380531</v>
      </c>
      <c r="M123">
        <v>233778</v>
      </c>
      <c r="N123">
        <v>323476</v>
      </c>
      <c r="O123">
        <v>212659</v>
      </c>
      <c r="P123">
        <v>196392</v>
      </c>
      <c r="Q123">
        <v>248071</v>
      </c>
    </row>
    <row r="124" spans="1:17" x14ac:dyDescent="0.25">
      <c r="A124" s="29" t="str">
        <f>_xll.EVPRO("Finance",$C124,"Inv_Type")</f>
        <v>Inv_Equity</v>
      </c>
      <c r="B124" s="29" t="str">
        <f t="shared" si="4"/>
        <v>SHC at Tower Road</v>
      </c>
      <c r="C124" s="29" t="str">
        <f t="shared" si="3"/>
        <v>S09144 - SHC at Tower Road</v>
      </c>
      <c r="D124" s="31"/>
      <c r="E124" s="2" t="str">
        <f xml:space="preserve"> _xll.EPMOlapMemberO("[ACCOUNT].[H1].[T_RENT_EXP]","","T_RENT_EXP - Tenant Rent Expense","","000")</f>
        <v>T_RENT_EXP - Tenant Rent Expense</v>
      </c>
      <c r="F124" s="233">
        <v>202628</v>
      </c>
      <c r="G124" s="233">
        <v>202628</v>
      </c>
      <c r="H124" s="233">
        <v>202628</v>
      </c>
      <c r="I124" s="233">
        <v>207694</v>
      </c>
      <c r="J124">
        <v>207694</v>
      </c>
      <c r="K124">
        <v>207694</v>
      </c>
      <c r="L124">
        <v>207694</v>
      </c>
      <c r="M124">
        <v>207694</v>
      </c>
      <c r="N124">
        <v>207694</v>
      </c>
      <c r="O124">
        <v>207694</v>
      </c>
      <c r="P124">
        <v>207694</v>
      </c>
      <c r="Q124">
        <v>207694</v>
      </c>
    </row>
    <row r="125" spans="1:17" x14ac:dyDescent="0.25">
      <c r="A125" s="29" t="str">
        <f>_xll.EVPRO("Finance",$C125,"Inv_Type")</f>
        <v>Inv_Equity</v>
      </c>
      <c r="B125" s="29" t="str">
        <f t="shared" si="4"/>
        <v>Danville Centre for Health and Rehabilitation</v>
      </c>
      <c r="C125" s="29" t="str">
        <f t="shared" si="3"/>
        <v>S09145 - Danville Centre for Health and Rehabilitation</v>
      </c>
      <c r="D125" s="31" t="str">
        <f xml:space="preserve"> _xll.EPMOlapMemberO("[ENTITY].[H1].[S09145]","","S09145 - Danville Centre for Health and Rehabilitation","","000")</f>
        <v>S09145 - Danville Centre for Health and Rehabilitation</v>
      </c>
      <c r="E125" s="31" t="str">
        <f xml:space="preserve"> _xll.EPMOlapMemberO("[ACCOUNT].[H1].[PAY_PAT_DAYS]","","PAY_PAT_DAYS - Total Payor Patient Days","","000")</f>
        <v>PAY_PAT_DAYS - Total Payor Patient Days</v>
      </c>
      <c r="F125" s="233">
        <v>2198</v>
      </c>
      <c r="G125" s="233">
        <v>2236</v>
      </c>
      <c r="H125" s="233">
        <v>2271</v>
      </c>
      <c r="I125" s="233">
        <v>2241</v>
      </c>
      <c r="J125">
        <v>2124</v>
      </c>
      <c r="K125">
        <v>2053</v>
      </c>
      <c r="L125">
        <v>2331</v>
      </c>
      <c r="M125">
        <v>2303</v>
      </c>
      <c r="N125">
        <v>2478</v>
      </c>
      <c r="O125">
        <v>2350</v>
      </c>
      <c r="P125">
        <v>2270</v>
      </c>
      <c r="Q125">
        <v>2394</v>
      </c>
    </row>
    <row r="126" spans="1:17" x14ac:dyDescent="0.25">
      <c r="A126" s="29" t="str">
        <f>_xll.EVPRO("Finance",$C126,"Inv_Type")</f>
        <v>Inv_Equity</v>
      </c>
      <c r="B126" s="29" t="str">
        <f t="shared" si="4"/>
        <v>Danville Centre for Health and Rehabilitation</v>
      </c>
      <c r="C126" s="29" t="str">
        <f t="shared" si="3"/>
        <v>S09145 - Danville Centre for Health and Rehabilitation</v>
      </c>
      <c r="D126" s="31"/>
      <c r="E126" s="2" t="str">
        <f xml:space="preserve"> _xll.EPMOlapMemberO("[ACCOUNT].[H1].[A_BEDS_TOTAL]","","A_BEDS_TOTAL - Total Available Beds","","000")</f>
        <v>A_BEDS_TOTAL - Total Available Beds</v>
      </c>
      <c r="F126" s="233">
        <v>106</v>
      </c>
      <c r="G126" s="233">
        <v>106</v>
      </c>
      <c r="H126" s="233">
        <v>106</v>
      </c>
      <c r="I126" s="233">
        <v>106</v>
      </c>
      <c r="J126">
        <v>106</v>
      </c>
      <c r="K126">
        <v>106</v>
      </c>
      <c r="L126">
        <v>106</v>
      </c>
      <c r="M126">
        <v>106</v>
      </c>
      <c r="N126">
        <v>106</v>
      </c>
      <c r="O126">
        <v>106</v>
      </c>
      <c r="P126">
        <v>106</v>
      </c>
      <c r="Q126">
        <v>106</v>
      </c>
    </row>
    <row r="127" spans="1:17" x14ac:dyDescent="0.25">
      <c r="A127" s="29" t="str">
        <f>_xll.EVPRO("Finance",$C127,"Inv_Type")</f>
        <v>Inv_Equity</v>
      </c>
      <c r="B127" s="29" t="str">
        <f t="shared" si="4"/>
        <v>Danville Centre for Health and Rehabilitation</v>
      </c>
      <c r="C127" s="29" t="str">
        <f t="shared" si="3"/>
        <v>S09145 - Danville Centre for Health and Rehabilitation</v>
      </c>
      <c r="D127" s="31"/>
      <c r="E127" s="15" t="str">
        <f xml:space="preserve"> _xll.EPMOlapMemberO("[ACCOUNT].[H1].[T_REVENUES]","","T_REVENUES - Total Tenant Revenues","","000")</f>
        <v>T_REVENUES - Total Tenant Revenues</v>
      </c>
      <c r="F127" s="233">
        <v>621964</v>
      </c>
      <c r="G127" s="233">
        <v>641652</v>
      </c>
      <c r="H127" s="233">
        <v>695701</v>
      </c>
      <c r="I127" s="233">
        <v>1219707</v>
      </c>
      <c r="J127">
        <v>639713</v>
      </c>
      <c r="K127">
        <v>531086</v>
      </c>
      <c r="L127">
        <v>751427</v>
      </c>
      <c r="M127">
        <v>644073</v>
      </c>
      <c r="N127">
        <v>654383</v>
      </c>
      <c r="O127">
        <v>616302</v>
      </c>
      <c r="P127">
        <v>597735</v>
      </c>
      <c r="Q127">
        <v>659247</v>
      </c>
    </row>
    <row r="128" spans="1:17" x14ac:dyDescent="0.25">
      <c r="A128" s="29" t="str">
        <f>_xll.EVPRO("Finance",$C128,"Inv_Type")</f>
        <v>Inv_Equity</v>
      </c>
      <c r="B128" s="29" t="str">
        <f t="shared" si="4"/>
        <v>Danville Centre for Health and Rehabilitation</v>
      </c>
      <c r="C128" s="29" t="str">
        <f t="shared" si="3"/>
        <v>S09145 - Danville Centre for Health and Rehabilitation</v>
      </c>
      <c r="D128" s="31"/>
      <c r="E128" s="15" t="str">
        <f xml:space="preserve"> _xll.EPMOlapMemberO("[ACCOUNT].[H1].[T_OPEX]","","T_OPEX - Tenant Operating Expenses","","000")</f>
        <v>T_OPEX - Tenant Operating Expenses</v>
      </c>
      <c r="F128" s="233">
        <v>714655</v>
      </c>
      <c r="G128" s="233">
        <v>670337</v>
      </c>
      <c r="H128" s="233">
        <v>721972</v>
      </c>
      <c r="I128" s="233">
        <v>720899</v>
      </c>
      <c r="J128">
        <v>756428</v>
      </c>
      <c r="K128">
        <v>609185</v>
      </c>
      <c r="L128">
        <v>600319</v>
      </c>
      <c r="M128">
        <v>597569</v>
      </c>
      <c r="N128">
        <v>601445</v>
      </c>
      <c r="O128">
        <v>600510</v>
      </c>
      <c r="P128">
        <v>643688</v>
      </c>
      <c r="Q128">
        <v>640524</v>
      </c>
    </row>
    <row r="129" spans="1:17" x14ac:dyDescent="0.25">
      <c r="A129" s="29" t="str">
        <f>_xll.EVPRO("Finance",$C129,"Inv_Type")</f>
        <v>Inv_Equity</v>
      </c>
      <c r="B129" s="29" t="str">
        <f t="shared" si="4"/>
        <v>Danville Centre for Health and Rehabilitation</v>
      </c>
      <c r="C129" s="29" t="str">
        <f t="shared" si="3"/>
        <v>S09145 - Danville Centre for Health and Rehabilitation</v>
      </c>
      <c r="D129" s="31"/>
      <c r="E129" s="2" t="str">
        <f xml:space="preserve"> _xll.EPMOlapMemberO("[ACCOUNT].[H1].[T_NON_OP_EXP]","","T_NON_OP_EXP - Tenant Non-Operating Expense","","000")</f>
        <v>T_NON_OP_EXP - Tenant Non-Operating Expense</v>
      </c>
      <c r="F129" s="233">
        <v>10328</v>
      </c>
      <c r="G129" s="233">
        <v>10758</v>
      </c>
      <c r="H129" s="233">
        <v>11489</v>
      </c>
      <c r="I129" s="233">
        <v>9613</v>
      </c>
      <c r="J129">
        <v>10250</v>
      </c>
      <c r="K129">
        <v>10492</v>
      </c>
      <c r="L129">
        <v>9868</v>
      </c>
      <c r="M129">
        <v>11107</v>
      </c>
      <c r="N129">
        <v>10081</v>
      </c>
      <c r="O129">
        <v>10888</v>
      </c>
      <c r="P129">
        <v>11508</v>
      </c>
      <c r="Q129">
        <v>10994</v>
      </c>
    </row>
    <row r="130" spans="1:17" x14ac:dyDescent="0.25">
      <c r="A130" s="29" t="str">
        <f>_xll.EVPRO("Finance",$C130,"Inv_Type")</f>
        <v>Inv_Equity</v>
      </c>
      <c r="B130" s="29" t="str">
        <f t="shared" si="4"/>
        <v>Danville Centre for Health and Rehabilitation</v>
      </c>
      <c r="C130" s="29" t="str">
        <f t="shared" si="3"/>
        <v>S09145 - Danville Centre for Health and Rehabilitation</v>
      </c>
      <c r="D130" s="31"/>
      <c r="E130" s="16" t="str">
        <f xml:space="preserve"> _xll.EPMOlapMemberO("[ACCOUNT].[H1].[T_BAD_DEBT]","","T_BAD_DEBT - Tenant Bad Debt Expense","","000")</f>
        <v>T_BAD_DEBT - Tenant Bad Debt Expense</v>
      </c>
      <c r="F130" s="233">
        <v>49899</v>
      </c>
      <c r="G130" s="233">
        <v>20000</v>
      </c>
      <c r="H130" s="233">
        <v>15000</v>
      </c>
      <c r="I130" s="233">
        <v>11364</v>
      </c>
      <c r="J130">
        <v>20000</v>
      </c>
      <c r="K130">
        <v>20000</v>
      </c>
      <c r="L130">
        <v>111</v>
      </c>
      <c r="M130">
        <v>9704</v>
      </c>
      <c r="N130">
        <v>5000</v>
      </c>
      <c r="O130">
        <v>10000</v>
      </c>
      <c r="P130">
        <v>20000</v>
      </c>
      <c r="Q130">
        <v>15000</v>
      </c>
    </row>
    <row r="131" spans="1:17" x14ac:dyDescent="0.25">
      <c r="A131" s="29" t="str">
        <f>_xll.EVPRO("Finance",$C131,"Inv_Type")</f>
        <v>Inv_Equity</v>
      </c>
      <c r="B131" s="29" t="str">
        <f t="shared" si="4"/>
        <v>Danville Centre for Health and Rehabilitation</v>
      </c>
      <c r="C131" s="29" t="str">
        <f t="shared" si="3"/>
        <v>S09145 - Danville Centre for Health and Rehabilitation</v>
      </c>
      <c r="D131" s="31"/>
      <c r="E131" s="3" t="str">
        <f xml:space="preserve"> _xll.EPMOlapMemberO("[ACCOUNT].[H1].[T_EBITDARM]","","T_EBITDARM - EBITDARM","","000")</f>
        <v>T_EBITDARM - EBITDARM</v>
      </c>
      <c r="F131" s="233">
        <v>-92691</v>
      </c>
      <c r="G131" s="233">
        <v>-28685</v>
      </c>
      <c r="H131" s="233">
        <v>-26271</v>
      </c>
      <c r="I131" s="233">
        <v>498808</v>
      </c>
      <c r="J131">
        <v>-116715</v>
      </c>
      <c r="K131">
        <v>-78099</v>
      </c>
      <c r="L131">
        <v>151108</v>
      </c>
      <c r="M131">
        <v>46504</v>
      </c>
      <c r="N131">
        <v>52938</v>
      </c>
      <c r="O131">
        <v>15792</v>
      </c>
      <c r="P131">
        <v>-45953</v>
      </c>
      <c r="Q131">
        <v>18723</v>
      </c>
    </row>
    <row r="132" spans="1:17" x14ac:dyDescent="0.25">
      <c r="A132" s="29" t="str">
        <f>_xll.EVPRO("Finance",$C132,"Inv_Type")</f>
        <v>Inv_Equity</v>
      </c>
      <c r="B132" s="29" t="str">
        <f t="shared" si="4"/>
        <v>Danville Centre for Health and Rehabilitation</v>
      </c>
      <c r="C132" s="29" t="str">
        <f t="shared" si="3"/>
        <v>S09145 - Danville Centre for Health and Rehabilitation</v>
      </c>
      <c r="D132" s="31"/>
      <c r="E132" s="3" t="str">
        <f xml:space="preserve"> _xll.EPMOlapMemberO("[ACCOUNT].[H1].[T_MGMT_FEE]","","T_MGMT_FEE - Tenant Management Fee - Actual","","000")</f>
        <v>T_MGMT_FEE - Tenant Management Fee - Actual</v>
      </c>
      <c r="F132" s="233">
        <v>31024</v>
      </c>
      <c r="G132" s="233">
        <v>32403</v>
      </c>
      <c r="H132" s="233">
        <v>35133</v>
      </c>
      <c r="I132" s="233">
        <v>68012</v>
      </c>
      <c r="J132">
        <v>32315</v>
      </c>
      <c r="K132">
        <v>26820</v>
      </c>
      <c r="L132">
        <v>37947</v>
      </c>
      <c r="M132">
        <v>32526</v>
      </c>
      <c r="N132">
        <v>33046</v>
      </c>
      <c r="O132">
        <v>31123</v>
      </c>
      <c r="P132">
        <v>30186</v>
      </c>
      <c r="Q132">
        <v>33292</v>
      </c>
    </row>
    <row r="133" spans="1:17" x14ac:dyDescent="0.25">
      <c r="A133" s="29" t="str">
        <f>_xll.EVPRO("Finance",$C133,"Inv_Type")</f>
        <v>Inv_Equity</v>
      </c>
      <c r="B133" s="29" t="str">
        <f t="shared" si="4"/>
        <v>Danville Centre for Health and Rehabilitation</v>
      </c>
      <c r="C133" s="29" t="str">
        <f t="shared" si="3"/>
        <v>S09145 - Danville Centre for Health and Rehabilitation</v>
      </c>
      <c r="D133" s="31"/>
      <c r="E133" s="2" t="str">
        <f xml:space="preserve"> _xll.EPMOlapMemberO("[ACCOUNT].[H1].[T_EBITDAR]","","T_EBITDAR - EBITDAR","","000")</f>
        <v>T_EBITDAR - EBITDAR</v>
      </c>
      <c r="F133" s="233">
        <v>-123715</v>
      </c>
      <c r="G133" s="233">
        <v>-61088</v>
      </c>
      <c r="H133" s="233">
        <v>-61404</v>
      </c>
      <c r="I133" s="233">
        <v>430796</v>
      </c>
      <c r="J133">
        <v>-149030</v>
      </c>
      <c r="K133">
        <v>-104919</v>
      </c>
      <c r="L133">
        <v>113161</v>
      </c>
      <c r="M133">
        <v>13978</v>
      </c>
      <c r="N133">
        <v>19892</v>
      </c>
      <c r="O133">
        <v>-15331</v>
      </c>
      <c r="P133">
        <v>-76139</v>
      </c>
      <c r="Q133">
        <v>-14569</v>
      </c>
    </row>
    <row r="134" spans="1:17" x14ac:dyDescent="0.25">
      <c r="A134" s="29" t="str">
        <f>_xll.EVPRO("Finance",$C134,"Inv_Type")</f>
        <v>Inv_Equity</v>
      </c>
      <c r="B134" s="29" t="str">
        <f t="shared" si="4"/>
        <v>Danville Centre for Health and Rehabilitation</v>
      </c>
      <c r="C134" s="29" t="str">
        <f t="shared" ref="C134:C197" si="5">IF($D134&lt;&gt;"",$D134,C133)</f>
        <v>S09145 - Danville Centre for Health and Rehabilitation</v>
      </c>
      <c r="D134" s="31"/>
      <c r="E134" s="2" t="str">
        <f xml:space="preserve"> _xll.EPMOlapMemberO("[ACCOUNT].[H1].[T_RENT_EXP]","","T_RENT_EXP - Tenant Rent Expense","","000")</f>
        <v>T_RENT_EXP - Tenant Rent Expense</v>
      </c>
      <c r="F134" s="233">
        <v>5253</v>
      </c>
      <c r="G134" s="233">
        <v>5253</v>
      </c>
      <c r="H134" s="233">
        <v>5253</v>
      </c>
      <c r="I134" s="233">
        <v>5384</v>
      </c>
      <c r="J134">
        <v>5384</v>
      </c>
      <c r="K134">
        <v>5384</v>
      </c>
      <c r="L134">
        <v>5384</v>
      </c>
      <c r="M134">
        <v>5384</v>
      </c>
      <c r="N134">
        <v>5384</v>
      </c>
      <c r="O134">
        <v>5384</v>
      </c>
      <c r="P134">
        <v>5384</v>
      </c>
      <c r="Q134">
        <v>5384</v>
      </c>
    </row>
    <row r="135" spans="1:17" x14ac:dyDescent="0.25">
      <c r="A135" s="29" t="str">
        <f>_xll.EVPRO("Finance",$C135,"Inv_Type")</f>
        <v>Inv_Equity</v>
      </c>
      <c r="B135" s="29" t="str">
        <f t="shared" si="4"/>
        <v>SHC at Hillcrest</v>
      </c>
      <c r="C135" s="29" t="str">
        <f t="shared" si="5"/>
        <v>S09146 - SHC at Hillcrest</v>
      </c>
      <c r="D135" s="31" t="str">
        <f xml:space="preserve"> _xll.EPMOlapMemberO("[ENTITY].[H1].[S09146]","","S09146 - SHC at Hillcrest","","000")</f>
        <v>S09146 - SHC at Hillcrest</v>
      </c>
      <c r="E135" s="31" t="str">
        <f xml:space="preserve"> _xll.EPMOlapMemberO("[ACCOUNT].[H1].[PAY_PAT_DAYS]","","PAY_PAT_DAYS - Total Payor Patient Days","","000")</f>
        <v>PAY_PAT_DAYS - Total Payor Patient Days</v>
      </c>
      <c r="F135" s="233">
        <v>3645</v>
      </c>
      <c r="G135" s="233">
        <v>3390</v>
      </c>
      <c r="H135" s="233">
        <v>3223</v>
      </c>
      <c r="I135" s="233">
        <v>3006</v>
      </c>
      <c r="J135">
        <v>3150</v>
      </c>
      <c r="K135">
        <v>3185</v>
      </c>
      <c r="L135">
        <v>3750</v>
      </c>
      <c r="M135">
        <v>3632</v>
      </c>
      <c r="N135">
        <v>3773</v>
      </c>
      <c r="O135">
        <v>3697</v>
      </c>
      <c r="P135">
        <v>3722</v>
      </c>
      <c r="Q135">
        <v>3591</v>
      </c>
    </row>
    <row r="136" spans="1:17" x14ac:dyDescent="0.25">
      <c r="A136" s="29" t="str">
        <f>_xll.EVPRO("Finance",$C136,"Inv_Type")</f>
        <v>Inv_Equity</v>
      </c>
      <c r="B136" s="29" t="str">
        <f t="shared" si="4"/>
        <v>SHC at Hillcrest</v>
      </c>
      <c r="C136" s="29" t="str">
        <f t="shared" si="5"/>
        <v>S09146 - SHC at Hillcrest</v>
      </c>
      <c r="D136" s="31"/>
      <c r="E136" s="2" t="str">
        <f xml:space="preserve"> _xll.EPMOlapMemberO("[ACCOUNT].[H1].[A_BEDS_TOTAL]","","A_BEDS_TOTAL - Total Available Beds","","000")</f>
        <v>A_BEDS_TOTAL - Total Available Beds</v>
      </c>
      <c r="F136" s="233">
        <v>140</v>
      </c>
      <c r="G136" s="233">
        <v>140</v>
      </c>
      <c r="H136" s="233">
        <v>140</v>
      </c>
      <c r="I136" s="233">
        <v>140</v>
      </c>
      <c r="J136">
        <v>140</v>
      </c>
      <c r="K136">
        <v>140</v>
      </c>
      <c r="L136">
        <v>140</v>
      </c>
      <c r="M136">
        <v>140</v>
      </c>
      <c r="N136">
        <v>140</v>
      </c>
      <c r="O136">
        <v>140</v>
      </c>
      <c r="P136">
        <v>140</v>
      </c>
      <c r="Q136">
        <v>140</v>
      </c>
    </row>
    <row r="137" spans="1:17" x14ac:dyDescent="0.25">
      <c r="A137" s="29" t="str">
        <f>_xll.EVPRO("Finance",$C137,"Inv_Type")</f>
        <v>Inv_Equity</v>
      </c>
      <c r="B137" s="29" t="str">
        <f t="shared" si="4"/>
        <v>SHC at Hillcrest</v>
      </c>
      <c r="C137" s="29" t="str">
        <f t="shared" si="5"/>
        <v>S09146 - SHC at Hillcrest</v>
      </c>
      <c r="D137" s="31"/>
      <c r="E137" s="15" t="str">
        <f xml:space="preserve"> _xll.EPMOlapMemberO("[ACCOUNT].[H1].[T_REVENUES]","","T_REVENUES - Total Tenant Revenues","","000")</f>
        <v>T_REVENUES - Total Tenant Revenues</v>
      </c>
      <c r="F137" s="233">
        <v>1189554</v>
      </c>
      <c r="G137" s="233">
        <v>1115132</v>
      </c>
      <c r="H137" s="233">
        <v>1085108</v>
      </c>
      <c r="I137" s="233">
        <v>1407468</v>
      </c>
      <c r="J137">
        <v>907425</v>
      </c>
      <c r="K137">
        <v>927842</v>
      </c>
      <c r="L137">
        <v>1317582</v>
      </c>
      <c r="M137">
        <v>1110243</v>
      </c>
      <c r="N137">
        <v>1152501</v>
      </c>
      <c r="O137">
        <v>1076735</v>
      </c>
      <c r="P137">
        <v>1142459</v>
      </c>
      <c r="Q137">
        <v>1086294</v>
      </c>
    </row>
    <row r="138" spans="1:17" x14ac:dyDescent="0.25">
      <c r="A138" s="29" t="str">
        <f>_xll.EVPRO("Finance",$C138,"Inv_Type")</f>
        <v>Inv_Equity</v>
      </c>
      <c r="B138" s="29" t="str">
        <f t="shared" si="4"/>
        <v>SHC at Hillcrest</v>
      </c>
      <c r="C138" s="29" t="str">
        <f t="shared" si="5"/>
        <v>S09146 - SHC at Hillcrest</v>
      </c>
      <c r="D138" s="31"/>
      <c r="E138" s="15" t="str">
        <f xml:space="preserve"> _xll.EPMOlapMemberO("[ACCOUNT].[H1].[T_OPEX]","","T_OPEX - Tenant Operating Expenses","","000")</f>
        <v>T_OPEX - Tenant Operating Expenses</v>
      </c>
      <c r="F138" s="233">
        <v>825484</v>
      </c>
      <c r="G138" s="233">
        <v>877734</v>
      </c>
      <c r="H138" s="233">
        <v>869508</v>
      </c>
      <c r="I138" s="233">
        <v>1063902</v>
      </c>
      <c r="J138">
        <v>905029</v>
      </c>
      <c r="K138">
        <v>717986</v>
      </c>
      <c r="L138">
        <v>884855</v>
      </c>
      <c r="M138">
        <v>843920</v>
      </c>
      <c r="N138">
        <v>801589</v>
      </c>
      <c r="O138">
        <v>835069</v>
      </c>
      <c r="P138">
        <v>866610</v>
      </c>
      <c r="Q138">
        <v>864050</v>
      </c>
    </row>
    <row r="139" spans="1:17" x14ac:dyDescent="0.25">
      <c r="A139" s="29" t="str">
        <f>_xll.EVPRO("Finance",$C139,"Inv_Type")</f>
        <v>Inv_Equity</v>
      </c>
      <c r="B139" s="29" t="str">
        <f t="shared" si="4"/>
        <v>SHC at Hillcrest</v>
      </c>
      <c r="C139" s="29" t="str">
        <f t="shared" si="5"/>
        <v>S09146 - SHC at Hillcrest</v>
      </c>
      <c r="D139" s="31"/>
      <c r="E139" s="2" t="str">
        <f xml:space="preserve"> _xll.EPMOlapMemberO("[ACCOUNT].[H1].[T_NON_OP_EXP]","","T_NON_OP_EXP - Tenant Non-Operating Expense","","000")</f>
        <v>T_NON_OP_EXP - Tenant Non-Operating Expense</v>
      </c>
      <c r="F139" s="233">
        <v>23222</v>
      </c>
      <c r="G139" s="233">
        <v>24050</v>
      </c>
      <c r="H139" s="233">
        <v>23373</v>
      </c>
      <c r="I139" s="233">
        <v>14200</v>
      </c>
      <c r="J139">
        <v>15098</v>
      </c>
      <c r="K139">
        <v>15335</v>
      </c>
      <c r="L139">
        <v>14944</v>
      </c>
      <c r="M139">
        <v>16818</v>
      </c>
      <c r="N139">
        <v>15214</v>
      </c>
      <c r="O139">
        <v>16799</v>
      </c>
      <c r="P139">
        <v>17462</v>
      </c>
      <c r="Q139">
        <v>17290</v>
      </c>
    </row>
    <row r="140" spans="1:17" x14ac:dyDescent="0.25">
      <c r="A140" s="29" t="str">
        <f>_xll.EVPRO("Finance",$C140,"Inv_Type")</f>
        <v>Inv_Equity</v>
      </c>
      <c r="B140" s="29" t="str">
        <f t="shared" si="4"/>
        <v>SHC at Hillcrest</v>
      </c>
      <c r="C140" s="29" t="str">
        <f t="shared" si="5"/>
        <v>S09146 - SHC at Hillcrest</v>
      </c>
      <c r="D140" s="31"/>
      <c r="E140" s="16" t="str">
        <f xml:space="preserve"> _xll.EPMOlapMemberO("[ACCOUNT].[H1].[T_BAD_DEBT]","","T_BAD_DEBT - Tenant Bad Debt Expense","","000")</f>
        <v>T_BAD_DEBT - Tenant Bad Debt Expense</v>
      </c>
      <c r="F140" s="233">
        <v>5000</v>
      </c>
      <c r="G140" s="233">
        <v>-5000</v>
      </c>
      <c r="H140" s="233"/>
      <c r="I140" s="233">
        <v>-5000</v>
      </c>
      <c r="J140">
        <v>10000</v>
      </c>
      <c r="K140">
        <v>5000</v>
      </c>
    </row>
    <row r="141" spans="1:17" x14ac:dyDescent="0.25">
      <c r="A141" s="29" t="str">
        <f>_xll.EVPRO("Finance",$C141,"Inv_Type")</f>
        <v>Inv_Equity</v>
      </c>
      <c r="B141" s="29" t="str">
        <f t="shared" si="4"/>
        <v>SHC at Hillcrest</v>
      </c>
      <c r="C141" s="29" t="str">
        <f t="shared" si="5"/>
        <v>S09146 - SHC at Hillcrest</v>
      </c>
      <c r="D141" s="31"/>
      <c r="E141" s="3" t="str">
        <f xml:space="preserve"> _xll.EPMOlapMemberO("[ACCOUNT].[H1].[T_EBITDARM]","","T_EBITDARM - EBITDARM","","000")</f>
        <v>T_EBITDARM - EBITDARM</v>
      </c>
      <c r="F141" s="233">
        <v>364070</v>
      </c>
      <c r="G141" s="233">
        <v>237398</v>
      </c>
      <c r="H141" s="233">
        <v>215600</v>
      </c>
      <c r="I141" s="233">
        <v>343566</v>
      </c>
      <c r="J141">
        <v>2396</v>
      </c>
      <c r="K141">
        <v>209856</v>
      </c>
      <c r="L141">
        <v>432727</v>
      </c>
      <c r="M141">
        <v>266323</v>
      </c>
      <c r="N141">
        <v>350912</v>
      </c>
      <c r="O141">
        <v>241666</v>
      </c>
      <c r="P141">
        <v>275849</v>
      </c>
      <c r="Q141">
        <v>222244</v>
      </c>
    </row>
    <row r="142" spans="1:17" x14ac:dyDescent="0.25">
      <c r="A142" s="29" t="str">
        <f>_xll.EVPRO("Finance",$C142,"Inv_Type")</f>
        <v>Inv_Equity</v>
      </c>
      <c r="B142" s="29" t="str">
        <f t="shared" si="4"/>
        <v>SHC at Hillcrest</v>
      </c>
      <c r="C142" s="29" t="str">
        <f t="shared" si="5"/>
        <v>S09146 - SHC at Hillcrest</v>
      </c>
      <c r="D142" s="31"/>
      <c r="E142" s="3" t="str">
        <f xml:space="preserve"> _xll.EPMOlapMemberO("[ACCOUNT].[H1].[T_MGMT_FEE]","","T_MGMT_FEE - Tenant Management Fee - Actual","","000")</f>
        <v>T_MGMT_FEE - Tenant Management Fee - Actual</v>
      </c>
      <c r="F142" s="233">
        <v>59319</v>
      </c>
      <c r="G142" s="233">
        <v>56314</v>
      </c>
      <c r="H142" s="233">
        <v>54798</v>
      </c>
      <c r="I142" s="233">
        <v>71093</v>
      </c>
      <c r="J142">
        <v>45825</v>
      </c>
      <c r="K142">
        <v>46856</v>
      </c>
      <c r="L142">
        <v>66538</v>
      </c>
      <c r="M142">
        <v>56067</v>
      </c>
      <c r="N142">
        <v>58201</v>
      </c>
      <c r="O142">
        <v>54375</v>
      </c>
      <c r="P142">
        <v>57694</v>
      </c>
      <c r="Q142">
        <v>54858</v>
      </c>
    </row>
    <row r="143" spans="1:17" x14ac:dyDescent="0.25">
      <c r="A143" s="29" t="str">
        <f>_xll.EVPRO("Finance",$C143,"Inv_Type")</f>
        <v>Inv_Equity</v>
      </c>
      <c r="B143" s="29" t="str">
        <f t="shared" si="4"/>
        <v>SHC at Hillcrest</v>
      </c>
      <c r="C143" s="29" t="str">
        <f t="shared" si="5"/>
        <v>S09146 - SHC at Hillcrest</v>
      </c>
      <c r="D143" s="31"/>
      <c r="E143" s="2" t="str">
        <f xml:space="preserve"> _xll.EPMOlapMemberO("[ACCOUNT].[H1].[T_EBITDAR]","","T_EBITDAR - EBITDAR","","000")</f>
        <v>T_EBITDAR - EBITDAR</v>
      </c>
      <c r="F143" s="233">
        <v>304751</v>
      </c>
      <c r="G143" s="233">
        <v>181084</v>
      </c>
      <c r="H143" s="233">
        <v>160802</v>
      </c>
      <c r="I143" s="233">
        <v>272473</v>
      </c>
      <c r="J143">
        <v>-43429</v>
      </c>
      <c r="K143">
        <v>163000</v>
      </c>
      <c r="L143">
        <v>366189</v>
      </c>
      <c r="M143">
        <v>210256</v>
      </c>
      <c r="N143">
        <v>292711</v>
      </c>
      <c r="O143">
        <v>187291</v>
      </c>
      <c r="P143">
        <v>218155</v>
      </c>
      <c r="Q143">
        <v>167386</v>
      </c>
    </row>
    <row r="144" spans="1:17" x14ac:dyDescent="0.25">
      <c r="A144" s="29" t="str">
        <f>_xll.EVPRO("Finance",$C144,"Inv_Type")</f>
        <v>Inv_Equity</v>
      </c>
      <c r="B144" s="29" t="str">
        <f t="shared" si="4"/>
        <v>SHC at Hillcrest</v>
      </c>
      <c r="C144" s="29" t="str">
        <f t="shared" si="5"/>
        <v>S09146 - SHC at Hillcrest</v>
      </c>
      <c r="D144" s="31"/>
      <c r="E144" s="2" t="str">
        <f xml:space="preserve"> _xll.EPMOlapMemberO("[ACCOUNT].[H1].[T_RENT_EXP]","","T_RENT_EXP - Tenant Rent Expense","","000")</f>
        <v>T_RENT_EXP - Tenant Rent Expense</v>
      </c>
      <c r="F144" s="233">
        <v>276895</v>
      </c>
      <c r="G144" s="233">
        <v>276895</v>
      </c>
      <c r="H144" s="233">
        <v>276895</v>
      </c>
      <c r="I144" s="233">
        <v>283817</v>
      </c>
      <c r="J144">
        <v>283817</v>
      </c>
      <c r="K144">
        <v>283817</v>
      </c>
      <c r="L144">
        <v>283817</v>
      </c>
      <c r="M144">
        <v>283817</v>
      </c>
      <c r="N144">
        <v>283817</v>
      </c>
      <c r="O144">
        <v>283817</v>
      </c>
      <c r="P144">
        <v>283817</v>
      </c>
      <c r="Q144">
        <v>283817</v>
      </c>
    </row>
    <row r="145" spans="1:17" x14ac:dyDescent="0.25">
      <c r="A145" s="29" t="str">
        <f>_xll.EVPRO("Finance",$C145,"Inv_Type")</f>
        <v>Inv_Equity</v>
      </c>
      <c r="B145" s="29" t="str">
        <f t="shared" si="4"/>
        <v>SHC of Elizabethtown</v>
      </c>
      <c r="C145" s="29" t="str">
        <f t="shared" si="5"/>
        <v>S09147 - SHC of Elizabethtown</v>
      </c>
      <c r="D145" s="31" t="str">
        <f xml:space="preserve"> _xll.EPMOlapMemberO("[ENTITY].[H1].[S09147]","","S09147 - SHC of Elizabethtown","","000")</f>
        <v>S09147 - SHC of Elizabethtown</v>
      </c>
      <c r="E145" s="31" t="str">
        <f xml:space="preserve"> _xll.EPMOlapMemberO("[ACCOUNT].[H1].[PAY_PAT_DAYS]","","PAY_PAT_DAYS - Total Payor Patient Days","","000")</f>
        <v>PAY_PAT_DAYS - Total Payor Patient Days</v>
      </c>
      <c r="F145" s="233">
        <v>2394</v>
      </c>
      <c r="G145" s="233">
        <v>2498</v>
      </c>
      <c r="H145" s="233">
        <v>2166</v>
      </c>
      <c r="I145" s="233">
        <v>1858</v>
      </c>
      <c r="J145">
        <v>2003</v>
      </c>
      <c r="K145">
        <v>1980</v>
      </c>
      <c r="L145">
        <v>2394</v>
      </c>
      <c r="M145">
        <v>2381</v>
      </c>
      <c r="N145">
        <v>2458</v>
      </c>
      <c r="O145">
        <v>2444</v>
      </c>
      <c r="P145">
        <v>2559</v>
      </c>
      <c r="Q145">
        <v>2594</v>
      </c>
    </row>
    <row r="146" spans="1:17" x14ac:dyDescent="0.25">
      <c r="A146" s="29" t="str">
        <f>_xll.EVPRO("Finance",$C146,"Inv_Type")</f>
        <v>Inv_Equity</v>
      </c>
      <c r="B146" s="29" t="str">
        <f t="shared" si="4"/>
        <v>SHC of Elizabethtown</v>
      </c>
      <c r="C146" s="29" t="str">
        <f t="shared" si="5"/>
        <v>S09147 - SHC of Elizabethtown</v>
      </c>
      <c r="D146" s="31"/>
      <c r="E146" s="2" t="str">
        <f xml:space="preserve"> _xll.EPMOlapMemberO("[ACCOUNT].[H1].[A_BEDS_TOTAL]","","A_BEDS_TOTAL - Total Available Beds","","000")</f>
        <v>A_BEDS_TOTAL - Total Available Beds</v>
      </c>
      <c r="F146" s="233">
        <v>104</v>
      </c>
      <c r="G146" s="233">
        <v>104</v>
      </c>
      <c r="H146" s="233">
        <v>104</v>
      </c>
      <c r="I146" s="233">
        <v>104</v>
      </c>
      <c r="J146">
        <v>104</v>
      </c>
      <c r="K146">
        <v>104</v>
      </c>
      <c r="L146">
        <v>104</v>
      </c>
      <c r="M146">
        <v>104</v>
      </c>
      <c r="N146">
        <v>104</v>
      </c>
      <c r="O146">
        <v>104</v>
      </c>
      <c r="P146">
        <v>104</v>
      </c>
      <c r="Q146">
        <v>104</v>
      </c>
    </row>
    <row r="147" spans="1:17" x14ac:dyDescent="0.25">
      <c r="A147" s="29" t="str">
        <f>_xll.EVPRO("Finance",$C147,"Inv_Type")</f>
        <v>Inv_Equity</v>
      </c>
      <c r="B147" s="29" t="str">
        <f t="shared" si="4"/>
        <v>SHC of Elizabethtown</v>
      </c>
      <c r="C147" s="29" t="str">
        <f t="shared" si="5"/>
        <v>S09147 - SHC of Elizabethtown</v>
      </c>
      <c r="D147" s="31"/>
      <c r="E147" s="15" t="str">
        <f xml:space="preserve"> _xll.EPMOlapMemberO("[ACCOUNT].[H1].[T_REVENUES]","","T_REVENUES - Total Tenant Revenues","","000")</f>
        <v>T_REVENUES - Total Tenant Revenues</v>
      </c>
      <c r="F147" s="233">
        <v>670138</v>
      </c>
      <c r="G147" s="233">
        <v>720484</v>
      </c>
      <c r="H147" s="233">
        <v>732006</v>
      </c>
      <c r="I147" s="233">
        <v>638835</v>
      </c>
      <c r="J147">
        <v>625783</v>
      </c>
      <c r="K147">
        <v>608655</v>
      </c>
      <c r="L147">
        <v>758974</v>
      </c>
      <c r="M147">
        <v>691858</v>
      </c>
      <c r="N147">
        <v>765456</v>
      </c>
      <c r="O147">
        <v>734079</v>
      </c>
      <c r="P147">
        <v>752007</v>
      </c>
      <c r="Q147">
        <v>790009</v>
      </c>
    </row>
    <row r="148" spans="1:17" x14ac:dyDescent="0.25">
      <c r="A148" s="29" t="str">
        <f>_xll.EVPRO("Finance",$C148,"Inv_Type")</f>
        <v>Inv_Equity</v>
      </c>
      <c r="B148" s="29" t="str">
        <f t="shared" si="4"/>
        <v>SHC of Elizabethtown</v>
      </c>
      <c r="C148" s="29" t="str">
        <f t="shared" si="5"/>
        <v>S09147 - SHC of Elizabethtown</v>
      </c>
      <c r="D148" s="31"/>
      <c r="E148" s="15" t="str">
        <f xml:space="preserve"> _xll.EPMOlapMemberO("[ACCOUNT].[H1].[T_OPEX]","","T_OPEX - Tenant Operating Expenses","","000")</f>
        <v>T_OPEX - Tenant Operating Expenses</v>
      </c>
      <c r="F148" s="233">
        <v>585873</v>
      </c>
      <c r="G148" s="233">
        <v>587027</v>
      </c>
      <c r="H148" s="233">
        <v>597042</v>
      </c>
      <c r="I148" s="233">
        <v>714553</v>
      </c>
      <c r="J148">
        <v>556367</v>
      </c>
      <c r="K148">
        <v>523689</v>
      </c>
      <c r="L148">
        <v>579068</v>
      </c>
      <c r="M148">
        <v>542987</v>
      </c>
      <c r="N148">
        <v>568740</v>
      </c>
      <c r="O148">
        <v>589867</v>
      </c>
      <c r="P148">
        <v>536786</v>
      </c>
      <c r="Q148">
        <v>571040</v>
      </c>
    </row>
    <row r="149" spans="1:17" x14ac:dyDescent="0.25">
      <c r="A149" s="29" t="str">
        <f>_xll.EVPRO("Finance",$C149,"Inv_Type")</f>
        <v>Inv_Equity</v>
      </c>
      <c r="B149" s="29" t="str">
        <f t="shared" si="4"/>
        <v>SHC of Elizabethtown</v>
      </c>
      <c r="C149" s="29" t="str">
        <f t="shared" si="5"/>
        <v>S09147 - SHC of Elizabethtown</v>
      </c>
      <c r="D149" s="31"/>
      <c r="E149" s="2" t="str">
        <f xml:space="preserve"> _xll.EPMOlapMemberO("[ACCOUNT].[H1].[T_NON_OP_EXP]","","T_NON_OP_EXP - Tenant Non-Operating Expense","","000")</f>
        <v>T_NON_OP_EXP - Tenant Non-Operating Expense</v>
      </c>
      <c r="F149" s="233">
        <v>7212</v>
      </c>
      <c r="G149" s="233">
        <v>8165</v>
      </c>
      <c r="H149" s="233">
        <v>7758</v>
      </c>
      <c r="I149" s="233">
        <v>6910</v>
      </c>
      <c r="J149">
        <v>7192</v>
      </c>
      <c r="K149">
        <v>7480</v>
      </c>
      <c r="L149">
        <v>6949</v>
      </c>
      <c r="M149">
        <v>8283</v>
      </c>
      <c r="N149">
        <v>7191</v>
      </c>
      <c r="O149">
        <v>8189</v>
      </c>
      <c r="P149">
        <v>8620</v>
      </c>
      <c r="Q149">
        <v>8607</v>
      </c>
    </row>
    <row r="150" spans="1:17" x14ac:dyDescent="0.25">
      <c r="A150" s="29" t="str">
        <f>_xll.EVPRO("Finance",$C150,"Inv_Type")</f>
        <v>Inv_Equity</v>
      </c>
      <c r="B150" s="29" t="str">
        <f t="shared" si="4"/>
        <v>SHC of Elizabethtown</v>
      </c>
      <c r="C150" s="29" t="str">
        <f t="shared" si="5"/>
        <v>S09147 - SHC of Elizabethtown</v>
      </c>
      <c r="D150" s="31"/>
      <c r="E150" s="16" t="str">
        <f xml:space="preserve"> _xll.EPMOlapMemberO("[ACCOUNT].[H1].[T_BAD_DEBT]","","T_BAD_DEBT - Tenant Bad Debt Expense","","000")</f>
        <v>T_BAD_DEBT - Tenant Bad Debt Expense</v>
      </c>
      <c r="F150" s="233">
        <v>7500</v>
      </c>
      <c r="G150" s="233">
        <v>5726</v>
      </c>
      <c r="H150" s="233">
        <v>2500</v>
      </c>
      <c r="I150" s="233">
        <v>15600</v>
      </c>
      <c r="J150">
        <v>7500</v>
      </c>
      <c r="K150">
        <v>7500</v>
      </c>
      <c r="Q150">
        <v>5000</v>
      </c>
    </row>
    <row r="151" spans="1:17" x14ac:dyDescent="0.25">
      <c r="A151" s="29" t="str">
        <f>_xll.EVPRO("Finance",$C151,"Inv_Type")</f>
        <v>Inv_Equity</v>
      </c>
      <c r="B151" s="29" t="str">
        <f t="shared" si="4"/>
        <v>SHC of Elizabethtown</v>
      </c>
      <c r="C151" s="29" t="str">
        <f t="shared" si="5"/>
        <v>S09147 - SHC of Elizabethtown</v>
      </c>
      <c r="D151" s="31"/>
      <c r="E151" s="3" t="str">
        <f xml:space="preserve"> _xll.EPMOlapMemberO("[ACCOUNT].[H1].[T_EBITDARM]","","T_EBITDARM - EBITDARM","","000")</f>
        <v>T_EBITDARM - EBITDARM</v>
      </c>
      <c r="F151" s="233">
        <v>84265</v>
      </c>
      <c r="G151" s="233">
        <v>133457</v>
      </c>
      <c r="H151" s="233">
        <v>134964</v>
      </c>
      <c r="I151" s="233">
        <v>-75718</v>
      </c>
      <c r="J151">
        <v>69416</v>
      </c>
      <c r="K151">
        <v>84966</v>
      </c>
      <c r="L151">
        <v>179906</v>
      </c>
      <c r="M151">
        <v>148871</v>
      </c>
      <c r="N151">
        <v>196716</v>
      </c>
      <c r="O151">
        <v>144212</v>
      </c>
      <c r="P151">
        <v>215221</v>
      </c>
      <c r="Q151">
        <v>218969</v>
      </c>
    </row>
    <row r="152" spans="1:17" x14ac:dyDescent="0.25">
      <c r="A152" s="29" t="str">
        <f>_xll.EVPRO("Finance",$C152,"Inv_Type")</f>
        <v>Inv_Equity</v>
      </c>
      <c r="B152" s="29" t="str">
        <f t="shared" si="4"/>
        <v>SHC of Elizabethtown</v>
      </c>
      <c r="C152" s="29" t="str">
        <f t="shared" si="5"/>
        <v>S09147 - SHC of Elizabethtown</v>
      </c>
      <c r="D152" s="31"/>
      <c r="E152" s="3" t="str">
        <f xml:space="preserve"> _xll.EPMOlapMemberO("[ACCOUNT].[H1].[T_MGMT_FEE]","","T_MGMT_FEE - Tenant Management Fee - Actual","","000")</f>
        <v>T_MGMT_FEE - Tenant Management Fee - Actual</v>
      </c>
      <c r="F152" s="233">
        <v>33842</v>
      </c>
      <c r="G152" s="233">
        <v>36384</v>
      </c>
      <c r="H152" s="233">
        <v>36966</v>
      </c>
      <c r="I152" s="233">
        <v>24529</v>
      </c>
      <c r="J152">
        <v>31623</v>
      </c>
      <c r="K152">
        <v>30737</v>
      </c>
      <c r="L152">
        <v>38328</v>
      </c>
      <c r="M152">
        <v>34939</v>
      </c>
      <c r="N152">
        <v>38656</v>
      </c>
      <c r="O152">
        <v>37071</v>
      </c>
      <c r="P152">
        <v>37976</v>
      </c>
      <c r="Q152">
        <v>39896</v>
      </c>
    </row>
    <row r="153" spans="1:17" x14ac:dyDescent="0.25">
      <c r="A153" s="29" t="str">
        <f>_xll.EVPRO("Finance",$C153,"Inv_Type")</f>
        <v>Inv_Equity</v>
      </c>
      <c r="B153" s="29" t="str">
        <f t="shared" si="4"/>
        <v>SHC of Elizabethtown</v>
      </c>
      <c r="C153" s="29" t="str">
        <f t="shared" si="5"/>
        <v>S09147 - SHC of Elizabethtown</v>
      </c>
      <c r="D153" s="31"/>
      <c r="E153" s="2" t="str">
        <f xml:space="preserve"> _xll.EPMOlapMemberO("[ACCOUNT].[H1].[T_EBITDAR]","","T_EBITDAR - EBITDAR","","000")</f>
        <v>T_EBITDAR - EBITDAR</v>
      </c>
      <c r="F153" s="233">
        <v>50423</v>
      </c>
      <c r="G153" s="233">
        <v>97073</v>
      </c>
      <c r="H153" s="233">
        <v>97998</v>
      </c>
      <c r="I153" s="233">
        <v>-100247</v>
      </c>
      <c r="J153">
        <v>37793</v>
      </c>
      <c r="K153">
        <v>54229</v>
      </c>
      <c r="L153">
        <v>141578</v>
      </c>
      <c r="M153">
        <v>113932</v>
      </c>
      <c r="N153">
        <v>158060</v>
      </c>
      <c r="O153">
        <v>107141</v>
      </c>
      <c r="P153">
        <v>177245</v>
      </c>
      <c r="Q153">
        <v>179073</v>
      </c>
    </row>
    <row r="154" spans="1:17" x14ac:dyDescent="0.25">
      <c r="A154" s="29" t="str">
        <f>_xll.EVPRO("Finance",$C154,"Inv_Type")</f>
        <v>Inv_Equity</v>
      </c>
      <c r="B154" s="29" t="str">
        <f t="shared" si="4"/>
        <v>SHC of Elizabethtown</v>
      </c>
      <c r="C154" s="29" t="str">
        <f t="shared" si="5"/>
        <v>S09147 - SHC of Elizabethtown</v>
      </c>
      <c r="D154" s="31"/>
      <c r="E154" s="2" t="str">
        <f xml:space="preserve"> _xll.EPMOlapMemberO("[ACCOUNT].[H1].[T_RENT_EXP]","","T_RENT_EXP - Tenant Rent Expense","","000")</f>
        <v>T_RENT_EXP - Tenant Rent Expense</v>
      </c>
      <c r="F154" s="233">
        <v>7352</v>
      </c>
      <c r="G154" s="233">
        <v>7352</v>
      </c>
      <c r="H154" s="233">
        <v>7352</v>
      </c>
      <c r="I154" s="233">
        <v>7535</v>
      </c>
      <c r="J154">
        <v>7535</v>
      </c>
      <c r="K154">
        <v>7535</v>
      </c>
      <c r="L154">
        <v>7535</v>
      </c>
      <c r="M154">
        <v>7535</v>
      </c>
      <c r="N154">
        <v>7535</v>
      </c>
      <c r="O154">
        <v>7535</v>
      </c>
      <c r="P154">
        <v>7535</v>
      </c>
      <c r="Q154">
        <v>7535</v>
      </c>
    </row>
    <row r="155" spans="1:17" x14ac:dyDescent="0.25">
      <c r="A155" s="29" t="str">
        <f>_xll.EVPRO("Finance",$C155,"Inv_Type")</f>
        <v>Inv_Equity</v>
      </c>
      <c r="B155" s="29" t="str">
        <f t="shared" si="4"/>
        <v>SHC of Primacy</v>
      </c>
      <c r="C155" s="29" t="str">
        <f t="shared" si="5"/>
        <v>S09148 - SHC of Primacy</v>
      </c>
      <c r="D155" s="31" t="str">
        <f xml:space="preserve"> _xll.EPMOlapMemberO("[ENTITY].[H1].[S09148]","","S09148 - SHC of Primacy","","000")</f>
        <v>S09148 - SHC of Primacy</v>
      </c>
      <c r="E155" s="31" t="str">
        <f xml:space="preserve"> _xll.EPMOlapMemberO("[ACCOUNT].[H1].[PAY_PAT_DAYS]","","PAY_PAT_DAYS - Total Payor Patient Days","","000")</f>
        <v>PAY_PAT_DAYS - Total Payor Patient Days</v>
      </c>
      <c r="F155" s="233">
        <v>2494</v>
      </c>
      <c r="G155" s="233">
        <v>2508</v>
      </c>
      <c r="H155" s="233">
        <v>2386</v>
      </c>
      <c r="I155" s="233">
        <v>2008</v>
      </c>
      <c r="J155">
        <v>2398</v>
      </c>
      <c r="K155">
        <v>2083</v>
      </c>
      <c r="L155">
        <v>2457</v>
      </c>
      <c r="M155">
        <v>2336</v>
      </c>
      <c r="N155">
        <v>2491</v>
      </c>
      <c r="O155">
        <v>2288</v>
      </c>
      <c r="P155">
        <v>2694</v>
      </c>
      <c r="Q155">
        <v>2749</v>
      </c>
    </row>
    <row r="156" spans="1:17" x14ac:dyDescent="0.25">
      <c r="A156" s="29" t="str">
        <f>_xll.EVPRO("Finance",$C156,"Inv_Type")</f>
        <v>Inv_Equity</v>
      </c>
      <c r="B156" s="29" t="str">
        <f t="shared" si="4"/>
        <v>SHC of Primacy</v>
      </c>
      <c r="C156" s="29" t="str">
        <f t="shared" si="5"/>
        <v>S09148 - SHC of Primacy</v>
      </c>
      <c r="D156" s="31"/>
      <c r="E156" s="2" t="str">
        <f xml:space="preserve"> _xll.EPMOlapMemberO("[ACCOUNT].[H1].[A_BEDS_TOTAL]","","A_BEDS_TOTAL - Total Available Beds","","000")</f>
        <v>A_BEDS_TOTAL - Total Available Beds</v>
      </c>
      <c r="F156" s="233">
        <v>120</v>
      </c>
      <c r="G156" s="233">
        <v>120</v>
      </c>
      <c r="H156" s="233">
        <v>120</v>
      </c>
      <c r="I156" s="233">
        <v>120</v>
      </c>
      <c r="J156">
        <v>120</v>
      </c>
      <c r="K156">
        <v>120</v>
      </c>
      <c r="L156">
        <v>120</v>
      </c>
      <c r="M156">
        <v>120</v>
      </c>
      <c r="N156">
        <v>120</v>
      </c>
      <c r="O156">
        <v>120</v>
      </c>
      <c r="P156">
        <v>120</v>
      </c>
      <c r="Q156">
        <v>120</v>
      </c>
    </row>
    <row r="157" spans="1:17" x14ac:dyDescent="0.25">
      <c r="A157" s="29" t="str">
        <f>_xll.EVPRO("Finance",$C157,"Inv_Type")</f>
        <v>Inv_Equity</v>
      </c>
      <c r="B157" s="29" t="str">
        <f t="shared" si="4"/>
        <v>SHC of Primacy</v>
      </c>
      <c r="C157" s="29" t="str">
        <f t="shared" si="5"/>
        <v>S09148 - SHC of Primacy</v>
      </c>
      <c r="D157" s="31"/>
      <c r="E157" s="15" t="str">
        <f xml:space="preserve"> _xll.EPMOlapMemberO("[ACCOUNT].[H1].[T_REVENUES]","","T_REVENUES - Total Tenant Revenues","","000")</f>
        <v>T_REVENUES - Total Tenant Revenues</v>
      </c>
      <c r="F157" s="233">
        <v>920870</v>
      </c>
      <c r="G157" s="233">
        <v>1027613</v>
      </c>
      <c r="H157" s="233">
        <v>1012527</v>
      </c>
      <c r="I157" s="233">
        <v>1256904</v>
      </c>
      <c r="J157">
        <v>874268</v>
      </c>
      <c r="K157">
        <v>778292</v>
      </c>
      <c r="L157">
        <v>820742</v>
      </c>
      <c r="M157">
        <v>766201</v>
      </c>
      <c r="N157">
        <v>830653</v>
      </c>
      <c r="O157">
        <v>813481</v>
      </c>
      <c r="P157">
        <v>960982</v>
      </c>
      <c r="Q157">
        <v>1025031</v>
      </c>
    </row>
    <row r="158" spans="1:17" x14ac:dyDescent="0.25">
      <c r="A158" s="29" t="str">
        <f>_xll.EVPRO("Finance",$C158,"Inv_Type")</f>
        <v>Inv_Equity</v>
      </c>
      <c r="B158" s="29" t="str">
        <f t="shared" si="4"/>
        <v>SHC of Primacy</v>
      </c>
      <c r="C158" s="29" t="str">
        <f t="shared" si="5"/>
        <v>S09148 - SHC of Primacy</v>
      </c>
      <c r="D158" s="31"/>
      <c r="E158" s="15" t="str">
        <f xml:space="preserve"> _xll.EPMOlapMemberO("[ACCOUNT].[H1].[T_OPEX]","","T_OPEX - Tenant Operating Expenses","","000")</f>
        <v>T_OPEX - Tenant Operating Expenses</v>
      </c>
      <c r="F158" s="233">
        <v>850529</v>
      </c>
      <c r="G158" s="233">
        <v>875366</v>
      </c>
      <c r="H158" s="233">
        <v>863724</v>
      </c>
      <c r="I158" s="233">
        <v>1301499</v>
      </c>
      <c r="J158">
        <v>929522</v>
      </c>
      <c r="K158">
        <v>698614</v>
      </c>
      <c r="L158">
        <v>749000</v>
      </c>
      <c r="M158">
        <v>802700</v>
      </c>
      <c r="N158">
        <v>833775</v>
      </c>
      <c r="O158">
        <v>890705</v>
      </c>
      <c r="P158">
        <v>864139</v>
      </c>
      <c r="Q158">
        <v>958073</v>
      </c>
    </row>
    <row r="159" spans="1:17" x14ac:dyDescent="0.25">
      <c r="A159" s="29" t="str">
        <f>_xll.EVPRO("Finance",$C159,"Inv_Type")</f>
        <v>Inv_Equity</v>
      </c>
      <c r="B159" s="29" t="str">
        <f t="shared" si="4"/>
        <v>SHC of Primacy</v>
      </c>
      <c r="C159" s="29" t="str">
        <f t="shared" si="5"/>
        <v>S09148 - SHC of Primacy</v>
      </c>
      <c r="D159" s="31"/>
      <c r="E159" s="2" t="str">
        <f xml:space="preserve"> _xll.EPMOlapMemberO("[ACCOUNT].[H1].[T_NON_OP_EXP]","","T_NON_OP_EXP - Tenant Non-Operating Expense","","000")</f>
        <v>T_NON_OP_EXP - Tenant Non-Operating Expense</v>
      </c>
      <c r="F159" s="233">
        <v>15134</v>
      </c>
      <c r="G159" s="233">
        <v>18244</v>
      </c>
      <c r="H159" s="233">
        <v>17737</v>
      </c>
      <c r="I159" s="233">
        <v>15618</v>
      </c>
      <c r="J159">
        <v>16385</v>
      </c>
      <c r="K159">
        <v>16987</v>
      </c>
      <c r="L159">
        <v>15856</v>
      </c>
      <c r="M159">
        <v>17801</v>
      </c>
      <c r="N159">
        <v>16072</v>
      </c>
      <c r="O159">
        <v>17409</v>
      </c>
      <c r="P159">
        <v>18132</v>
      </c>
      <c r="Q159">
        <v>18361</v>
      </c>
    </row>
    <row r="160" spans="1:17" x14ac:dyDescent="0.25">
      <c r="A160" s="29" t="str">
        <f>_xll.EVPRO("Finance",$C160,"Inv_Type")</f>
        <v>Inv_Equity</v>
      </c>
      <c r="B160" s="29" t="str">
        <f t="shared" si="4"/>
        <v>SHC of Primacy</v>
      </c>
      <c r="C160" s="29" t="str">
        <f t="shared" si="5"/>
        <v>S09148 - SHC of Primacy</v>
      </c>
      <c r="D160" s="31"/>
      <c r="E160" s="16" t="str">
        <f xml:space="preserve"> _xll.EPMOlapMemberO("[ACCOUNT].[H1].[T_BAD_DEBT]","","T_BAD_DEBT - Tenant Bad Debt Expense","","000")</f>
        <v>T_BAD_DEBT - Tenant Bad Debt Expense</v>
      </c>
      <c r="F160" s="233">
        <v>70146</v>
      </c>
      <c r="G160" s="233">
        <v>56093</v>
      </c>
      <c r="H160" s="233">
        <v>60016</v>
      </c>
      <c r="I160" s="233">
        <v>47702</v>
      </c>
      <c r="J160">
        <v>23587</v>
      </c>
      <c r="K160">
        <v>24000</v>
      </c>
      <c r="M160">
        <v>4350</v>
      </c>
      <c r="N160">
        <v>27711</v>
      </c>
      <c r="O160">
        <v>93182</v>
      </c>
      <c r="P160">
        <v>23803</v>
      </c>
      <c r="Q160">
        <v>37464</v>
      </c>
    </row>
    <row r="161" spans="1:17" x14ac:dyDescent="0.25">
      <c r="A161" s="29" t="str">
        <f>_xll.EVPRO("Finance",$C161,"Inv_Type")</f>
        <v>Inv_Equity</v>
      </c>
      <c r="B161" s="29" t="str">
        <f t="shared" si="4"/>
        <v>SHC of Primacy</v>
      </c>
      <c r="C161" s="29" t="str">
        <f t="shared" si="5"/>
        <v>S09148 - SHC of Primacy</v>
      </c>
      <c r="D161" s="31"/>
      <c r="E161" s="3" t="str">
        <f xml:space="preserve"> _xll.EPMOlapMemberO("[ACCOUNT].[H1].[T_EBITDARM]","","T_EBITDARM - EBITDARM","","000")</f>
        <v>T_EBITDARM - EBITDARM</v>
      </c>
      <c r="F161" s="233">
        <v>70341</v>
      </c>
      <c r="G161" s="233">
        <v>152247</v>
      </c>
      <c r="H161" s="233">
        <v>148803</v>
      </c>
      <c r="I161" s="233">
        <v>-44595</v>
      </c>
      <c r="J161">
        <v>-55254</v>
      </c>
      <c r="K161">
        <v>79678</v>
      </c>
      <c r="L161">
        <v>71742</v>
      </c>
      <c r="M161">
        <v>-36499</v>
      </c>
      <c r="N161">
        <v>-3122</v>
      </c>
      <c r="O161">
        <v>-77224</v>
      </c>
      <c r="P161">
        <v>96843</v>
      </c>
      <c r="Q161">
        <v>66958</v>
      </c>
    </row>
    <row r="162" spans="1:17" x14ac:dyDescent="0.25">
      <c r="A162" s="29" t="str">
        <f>_xll.EVPRO("Finance",$C162,"Inv_Type")</f>
        <v>Inv_Equity</v>
      </c>
      <c r="B162" s="29" t="str">
        <f t="shared" si="4"/>
        <v>SHC of Primacy</v>
      </c>
      <c r="C162" s="29" t="str">
        <f t="shared" si="5"/>
        <v>S09148 - SHC of Primacy</v>
      </c>
      <c r="D162" s="31"/>
      <c r="E162" s="3" t="str">
        <f xml:space="preserve"> _xll.EPMOlapMemberO("[ACCOUNT].[H1].[T_MGMT_FEE]","","T_MGMT_FEE - Tenant Management Fee - Actual","","000")</f>
        <v>T_MGMT_FEE - Tenant Management Fee - Actual</v>
      </c>
      <c r="F162" s="233">
        <v>46504</v>
      </c>
      <c r="G162" s="233">
        <v>51894</v>
      </c>
      <c r="H162" s="233">
        <v>51133</v>
      </c>
      <c r="I162" s="233">
        <v>63146</v>
      </c>
      <c r="J162">
        <v>44151</v>
      </c>
      <c r="K162">
        <v>39304</v>
      </c>
      <c r="L162">
        <v>41447</v>
      </c>
      <c r="M162">
        <v>38693</v>
      </c>
      <c r="N162">
        <v>41948</v>
      </c>
      <c r="O162">
        <v>41081</v>
      </c>
      <c r="P162">
        <v>48530</v>
      </c>
      <c r="Q162">
        <v>51764</v>
      </c>
    </row>
    <row r="163" spans="1:17" x14ac:dyDescent="0.25">
      <c r="A163" s="29" t="str">
        <f>_xll.EVPRO("Finance",$C163,"Inv_Type")</f>
        <v>Inv_Equity</v>
      </c>
      <c r="B163" s="29" t="str">
        <f t="shared" si="4"/>
        <v>SHC of Primacy</v>
      </c>
      <c r="C163" s="29" t="str">
        <f t="shared" si="5"/>
        <v>S09148 - SHC of Primacy</v>
      </c>
      <c r="D163" s="31"/>
      <c r="E163" s="2" t="str">
        <f xml:space="preserve"> _xll.EPMOlapMemberO("[ACCOUNT].[H1].[T_EBITDAR]","","T_EBITDAR - EBITDAR","","000")</f>
        <v>T_EBITDAR - EBITDAR</v>
      </c>
      <c r="F163" s="233">
        <v>23837</v>
      </c>
      <c r="G163" s="233">
        <v>100353</v>
      </c>
      <c r="H163" s="233">
        <v>97670</v>
      </c>
      <c r="I163" s="233">
        <v>-107741</v>
      </c>
      <c r="J163">
        <v>-99405</v>
      </c>
      <c r="K163">
        <v>40374</v>
      </c>
      <c r="L163">
        <v>30295</v>
      </c>
      <c r="M163">
        <v>-75192</v>
      </c>
      <c r="N163">
        <v>-45070</v>
      </c>
      <c r="O163">
        <v>-118305</v>
      </c>
      <c r="P163">
        <v>48313</v>
      </c>
      <c r="Q163">
        <v>15194</v>
      </c>
    </row>
    <row r="164" spans="1:17" x14ac:dyDescent="0.25">
      <c r="A164" s="29" t="str">
        <f>_xll.EVPRO("Finance",$C164,"Inv_Type")</f>
        <v>Inv_Equity</v>
      </c>
      <c r="B164" s="29" t="str">
        <f t="shared" si="4"/>
        <v>SHC of Primacy</v>
      </c>
      <c r="C164" s="29" t="str">
        <f t="shared" si="5"/>
        <v>S09148 - SHC of Primacy</v>
      </c>
      <c r="D164" s="31"/>
      <c r="E164" s="2" t="str">
        <f xml:space="preserve"> _xll.EPMOlapMemberO("[ACCOUNT].[H1].[T_RENT_EXP]","","T_RENT_EXP - Tenant Rent Expense","","000")</f>
        <v>T_RENT_EXP - Tenant Rent Expense</v>
      </c>
      <c r="F164" s="233">
        <v>32493</v>
      </c>
      <c r="G164" s="233">
        <v>32493</v>
      </c>
      <c r="H164" s="233">
        <v>32493</v>
      </c>
      <c r="I164" s="233">
        <v>33305</v>
      </c>
      <c r="J164">
        <v>33305</v>
      </c>
      <c r="K164">
        <v>33305</v>
      </c>
      <c r="L164">
        <v>33305</v>
      </c>
      <c r="M164">
        <v>33305</v>
      </c>
      <c r="N164">
        <v>33305</v>
      </c>
      <c r="O164">
        <v>33305</v>
      </c>
      <c r="P164">
        <v>33305</v>
      </c>
      <c r="Q164">
        <v>33305</v>
      </c>
    </row>
    <row r="165" spans="1:17" x14ac:dyDescent="0.25">
      <c r="A165" s="29" t="str">
        <f>_xll.EVPRO("Finance",$C165,"Inv_Type")</f>
        <v>Inv_Equity</v>
      </c>
      <c r="B165" s="29" t="str">
        <f t="shared" si="4"/>
        <v>SHC of Harbour Pointe</v>
      </c>
      <c r="C165" s="29" t="str">
        <f t="shared" si="5"/>
        <v>S09149 - SHC of Harbour Pointe</v>
      </c>
      <c r="D165" s="31" t="str">
        <f xml:space="preserve"> _xll.EPMOlapMemberO("[ENTITY].[H1].[S09149]","","S09149 - SHC of Harbour Pointe","","000")</f>
        <v>S09149 - SHC of Harbour Pointe</v>
      </c>
      <c r="E165" s="31" t="str">
        <f xml:space="preserve"> _xll.EPMOlapMemberO("[ACCOUNT].[H1].[PAY_PAT_DAYS]","","PAY_PAT_DAYS - Total Payor Patient Days","","000")</f>
        <v>PAY_PAT_DAYS - Total Payor Patient Days</v>
      </c>
      <c r="F165" s="233">
        <v>4089</v>
      </c>
      <c r="G165" s="233">
        <v>4371</v>
      </c>
      <c r="H165" s="233">
        <v>4364</v>
      </c>
      <c r="I165" s="233">
        <v>4558</v>
      </c>
      <c r="J165">
        <v>4535</v>
      </c>
      <c r="K165">
        <v>3835</v>
      </c>
      <c r="L165">
        <v>4276</v>
      </c>
      <c r="M165">
        <v>4177</v>
      </c>
      <c r="N165">
        <v>4329</v>
      </c>
      <c r="O165">
        <v>4176</v>
      </c>
      <c r="P165">
        <v>4383</v>
      </c>
      <c r="Q165">
        <v>4484</v>
      </c>
    </row>
    <row r="166" spans="1:17" x14ac:dyDescent="0.25">
      <c r="A166" s="29" t="str">
        <f>_xll.EVPRO("Finance",$C166,"Inv_Type")</f>
        <v>Inv_Equity</v>
      </c>
      <c r="B166" s="29" t="str">
        <f t="shared" si="4"/>
        <v>SHC of Harbour Pointe</v>
      </c>
      <c r="C166" s="29" t="str">
        <f t="shared" si="5"/>
        <v>S09149 - SHC of Harbour Pointe</v>
      </c>
      <c r="D166" s="31"/>
      <c r="E166" s="2" t="str">
        <f xml:space="preserve"> _xll.EPMOlapMemberO("[ACCOUNT].[H1].[A_BEDS_TOTAL]","","A_BEDS_TOTAL - Total Available Beds","","000")</f>
        <v>A_BEDS_TOTAL - Total Available Beds</v>
      </c>
      <c r="F166" s="233">
        <v>163</v>
      </c>
      <c r="G166" s="233">
        <v>163</v>
      </c>
      <c r="H166" s="233">
        <v>163</v>
      </c>
      <c r="I166" s="233">
        <v>163</v>
      </c>
      <c r="J166">
        <v>163</v>
      </c>
      <c r="K166">
        <v>163</v>
      </c>
      <c r="L166">
        <v>163</v>
      </c>
      <c r="M166">
        <v>163</v>
      </c>
      <c r="N166">
        <v>163</v>
      </c>
      <c r="O166">
        <v>163</v>
      </c>
      <c r="P166">
        <v>163</v>
      </c>
      <c r="Q166">
        <v>163</v>
      </c>
    </row>
    <row r="167" spans="1:17" x14ac:dyDescent="0.25">
      <c r="A167" s="29" t="str">
        <f>_xll.EVPRO("Finance",$C167,"Inv_Type")</f>
        <v>Inv_Equity</v>
      </c>
      <c r="B167" s="29" t="str">
        <f t="shared" si="4"/>
        <v>SHC of Harbour Pointe</v>
      </c>
      <c r="C167" s="29" t="str">
        <f t="shared" si="5"/>
        <v>S09149 - SHC of Harbour Pointe</v>
      </c>
      <c r="D167" s="31"/>
      <c r="E167" s="15" t="str">
        <f xml:space="preserve"> _xll.EPMOlapMemberO("[ACCOUNT].[H1].[T_REVENUES]","","T_REVENUES - Total Tenant Revenues","","000")</f>
        <v>T_REVENUES - Total Tenant Revenues</v>
      </c>
      <c r="F167" s="233">
        <v>1014256</v>
      </c>
      <c r="G167" s="233">
        <v>1106290</v>
      </c>
      <c r="H167" s="233">
        <v>1195549</v>
      </c>
      <c r="I167" s="233">
        <v>939663</v>
      </c>
      <c r="J167">
        <v>1046956</v>
      </c>
      <c r="K167">
        <v>916675</v>
      </c>
      <c r="L167">
        <v>1006927</v>
      </c>
      <c r="M167">
        <v>947080</v>
      </c>
      <c r="N167">
        <v>960105</v>
      </c>
      <c r="O167">
        <v>950150</v>
      </c>
      <c r="P167">
        <v>1050737</v>
      </c>
      <c r="Q167">
        <v>1050757</v>
      </c>
    </row>
    <row r="168" spans="1:17" x14ac:dyDescent="0.25">
      <c r="A168" s="29" t="str">
        <f>_xll.EVPRO("Finance",$C168,"Inv_Type")</f>
        <v>Inv_Equity</v>
      </c>
      <c r="B168" s="29" t="str">
        <f t="shared" si="4"/>
        <v>SHC of Harbour Pointe</v>
      </c>
      <c r="C168" s="29" t="str">
        <f t="shared" si="5"/>
        <v>S09149 - SHC of Harbour Pointe</v>
      </c>
      <c r="D168" s="31"/>
      <c r="E168" s="15" t="str">
        <f xml:space="preserve"> _xll.EPMOlapMemberO("[ACCOUNT].[H1].[T_OPEX]","","T_OPEX - Tenant Operating Expenses","","000")</f>
        <v>T_OPEX - Tenant Operating Expenses</v>
      </c>
      <c r="F168" s="233">
        <v>888732</v>
      </c>
      <c r="G168" s="233">
        <v>961732</v>
      </c>
      <c r="H168" s="233">
        <v>935153</v>
      </c>
      <c r="I168" s="233">
        <v>1059098</v>
      </c>
      <c r="J168">
        <v>897834</v>
      </c>
      <c r="K168">
        <v>848929</v>
      </c>
      <c r="L168">
        <v>917804</v>
      </c>
      <c r="M168">
        <v>851798</v>
      </c>
      <c r="N168">
        <v>914392</v>
      </c>
      <c r="O168">
        <v>953457</v>
      </c>
      <c r="P168">
        <v>971837</v>
      </c>
      <c r="Q168">
        <v>888994</v>
      </c>
    </row>
    <row r="169" spans="1:17" x14ac:dyDescent="0.25">
      <c r="A169" s="29" t="str">
        <f>_xll.EVPRO("Finance",$C169,"Inv_Type")</f>
        <v>Inv_Equity</v>
      </c>
      <c r="B169" s="29" t="str">
        <f t="shared" si="4"/>
        <v>SHC of Harbour Pointe</v>
      </c>
      <c r="C169" s="29" t="str">
        <f t="shared" si="5"/>
        <v>S09149 - SHC of Harbour Pointe</v>
      </c>
      <c r="D169" s="31"/>
      <c r="E169" s="2" t="str">
        <f xml:space="preserve"> _xll.EPMOlapMemberO("[ACCOUNT].[H1].[T_NON_OP_EXP]","","T_NON_OP_EXP - Tenant Non-Operating Expense","","000")</f>
        <v>T_NON_OP_EXP - Tenant Non-Operating Expense</v>
      </c>
      <c r="F169" s="233">
        <v>25763</v>
      </c>
      <c r="G169" s="233">
        <v>27034</v>
      </c>
      <c r="H169" s="233">
        <v>26562</v>
      </c>
      <c r="I169" s="233">
        <v>21755</v>
      </c>
      <c r="J169">
        <v>25311</v>
      </c>
      <c r="K169">
        <v>25280</v>
      </c>
      <c r="L169">
        <v>26042</v>
      </c>
      <c r="M169">
        <v>30452</v>
      </c>
      <c r="N169">
        <v>23695</v>
      </c>
      <c r="O169">
        <v>27193</v>
      </c>
      <c r="P169">
        <v>28410</v>
      </c>
      <c r="Q169">
        <v>54612</v>
      </c>
    </row>
    <row r="170" spans="1:17" x14ac:dyDescent="0.25">
      <c r="A170" s="29" t="str">
        <f>_xll.EVPRO("Finance",$C170,"Inv_Type")</f>
        <v>Inv_Equity</v>
      </c>
      <c r="B170" s="29" t="str">
        <f t="shared" si="4"/>
        <v>SHC of Harbour Pointe</v>
      </c>
      <c r="C170" s="29" t="str">
        <f t="shared" si="5"/>
        <v>S09149 - SHC of Harbour Pointe</v>
      </c>
      <c r="D170" s="31"/>
      <c r="E170" s="16" t="str">
        <f xml:space="preserve"> _xll.EPMOlapMemberO("[ACCOUNT].[H1].[T_BAD_DEBT]","","T_BAD_DEBT - Tenant Bad Debt Expense","","000")</f>
        <v>T_BAD_DEBT - Tenant Bad Debt Expense</v>
      </c>
      <c r="F170" s="233">
        <v>15151</v>
      </c>
      <c r="G170" s="233">
        <v>-220</v>
      </c>
      <c r="H170" s="233">
        <v>-25000</v>
      </c>
      <c r="I170" s="233">
        <v>15716</v>
      </c>
      <c r="J170">
        <v>27807</v>
      </c>
      <c r="K170">
        <v>23000</v>
      </c>
    </row>
    <row r="171" spans="1:17" x14ac:dyDescent="0.25">
      <c r="A171" s="29" t="str">
        <f>_xll.EVPRO("Finance",$C171,"Inv_Type")</f>
        <v>Inv_Equity</v>
      </c>
      <c r="B171" s="29" t="str">
        <f t="shared" si="4"/>
        <v>SHC of Harbour Pointe</v>
      </c>
      <c r="C171" s="29" t="str">
        <f t="shared" si="5"/>
        <v>S09149 - SHC of Harbour Pointe</v>
      </c>
      <c r="D171" s="31"/>
      <c r="E171" s="3" t="str">
        <f xml:space="preserve"> _xll.EPMOlapMemberO("[ACCOUNT].[H1].[T_EBITDARM]","","T_EBITDARM - EBITDARM","","000")</f>
        <v>T_EBITDARM - EBITDARM</v>
      </c>
      <c r="F171" s="233">
        <v>125524</v>
      </c>
      <c r="G171" s="233">
        <v>144558</v>
      </c>
      <c r="H171" s="233">
        <v>260396</v>
      </c>
      <c r="I171" s="233">
        <v>-119435</v>
      </c>
      <c r="J171">
        <v>149122</v>
      </c>
      <c r="K171">
        <v>67746</v>
      </c>
      <c r="L171">
        <v>89123</v>
      </c>
      <c r="M171">
        <v>95282</v>
      </c>
      <c r="N171">
        <v>45713</v>
      </c>
      <c r="O171">
        <v>-3307</v>
      </c>
      <c r="P171">
        <v>78900</v>
      </c>
      <c r="Q171">
        <v>161763</v>
      </c>
    </row>
    <row r="172" spans="1:17" x14ac:dyDescent="0.25">
      <c r="A172" s="29" t="str">
        <f>_xll.EVPRO("Finance",$C172,"Inv_Type")</f>
        <v>Inv_Equity</v>
      </c>
      <c r="B172" s="29" t="str">
        <f t="shared" si="4"/>
        <v>SHC of Harbour Pointe</v>
      </c>
      <c r="C172" s="29" t="str">
        <f t="shared" si="5"/>
        <v>S09149 - SHC of Harbour Pointe</v>
      </c>
      <c r="D172" s="31"/>
      <c r="E172" s="3" t="str">
        <f xml:space="preserve"> _xll.EPMOlapMemberO("[ACCOUNT].[H1].[T_MGMT_FEE]","","T_MGMT_FEE - Tenant Management Fee - Actual","","000")</f>
        <v>T_MGMT_FEE - Tenant Management Fee - Actual</v>
      </c>
      <c r="F172" s="233">
        <v>51220</v>
      </c>
      <c r="G172" s="233">
        <v>55868</v>
      </c>
      <c r="H172" s="233">
        <v>60375</v>
      </c>
      <c r="I172" s="233">
        <v>38073</v>
      </c>
      <c r="J172">
        <v>52871</v>
      </c>
      <c r="K172">
        <v>46292</v>
      </c>
      <c r="L172">
        <v>50850</v>
      </c>
      <c r="M172">
        <v>47828</v>
      </c>
      <c r="N172">
        <v>48485</v>
      </c>
      <c r="O172">
        <v>47983</v>
      </c>
      <c r="P172">
        <v>53062</v>
      </c>
      <c r="Q172">
        <v>53063</v>
      </c>
    </row>
    <row r="173" spans="1:17" x14ac:dyDescent="0.25">
      <c r="A173" s="29" t="str">
        <f>_xll.EVPRO("Finance",$C173,"Inv_Type")</f>
        <v>Inv_Equity</v>
      </c>
      <c r="B173" s="29" t="str">
        <f t="shared" si="4"/>
        <v>SHC of Harbour Pointe</v>
      </c>
      <c r="C173" s="29" t="str">
        <f t="shared" si="5"/>
        <v>S09149 - SHC of Harbour Pointe</v>
      </c>
      <c r="D173" s="31"/>
      <c r="E173" s="2" t="str">
        <f xml:space="preserve"> _xll.EPMOlapMemberO("[ACCOUNT].[H1].[T_EBITDAR]","","T_EBITDAR - EBITDAR","","000")</f>
        <v>T_EBITDAR - EBITDAR</v>
      </c>
      <c r="F173" s="233">
        <v>74304</v>
      </c>
      <c r="G173" s="233">
        <v>88690</v>
      </c>
      <c r="H173" s="233">
        <v>200021</v>
      </c>
      <c r="I173" s="233">
        <v>-157508</v>
      </c>
      <c r="J173">
        <v>96251</v>
      </c>
      <c r="K173">
        <v>21454</v>
      </c>
      <c r="L173">
        <v>38273</v>
      </c>
      <c r="M173">
        <v>47454</v>
      </c>
      <c r="N173">
        <v>-2772</v>
      </c>
      <c r="O173">
        <v>-51290</v>
      </c>
      <c r="P173">
        <v>25838</v>
      </c>
      <c r="Q173">
        <v>108700</v>
      </c>
    </row>
    <row r="174" spans="1:17" x14ac:dyDescent="0.25">
      <c r="A174" s="29" t="str">
        <f>_xll.EVPRO("Finance",$C174,"Inv_Type")</f>
        <v>Inv_Equity</v>
      </c>
      <c r="B174" s="29" t="str">
        <f t="shared" si="4"/>
        <v>SHC of Harbour Pointe</v>
      </c>
      <c r="C174" s="29" t="str">
        <f t="shared" si="5"/>
        <v>S09149 - SHC of Harbour Pointe</v>
      </c>
      <c r="D174" s="31"/>
      <c r="E174" s="2" t="str">
        <f xml:space="preserve"> _xll.EPMOlapMemberO("[ACCOUNT].[H1].[T_RENT_EXP]","","T_RENT_EXP - Tenant Rent Expense","","000")</f>
        <v>T_RENT_EXP - Tenant Rent Expense</v>
      </c>
      <c r="F174" s="233">
        <v>54622</v>
      </c>
      <c r="G174" s="233">
        <v>54622</v>
      </c>
      <c r="H174" s="233">
        <v>54622</v>
      </c>
      <c r="I174" s="233">
        <v>55988</v>
      </c>
      <c r="J174">
        <v>55988</v>
      </c>
      <c r="K174">
        <v>55988</v>
      </c>
      <c r="L174">
        <v>55988</v>
      </c>
      <c r="M174">
        <v>55988</v>
      </c>
      <c r="N174">
        <v>55988</v>
      </c>
      <c r="O174">
        <v>55988</v>
      </c>
      <c r="P174">
        <v>55988</v>
      </c>
      <c r="Q174">
        <v>55988</v>
      </c>
    </row>
    <row r="175" spans="1:17" x14ac:dyDescent="0.25">
      <c r="A175" s="29" t="str">
        <f>_xll.EVPRO("Finance",$C175,"Inv_Type")</f>
        <v>Inv_Equity</v>
      </c>
      <c r="B175" s="29" t="str">
        <f t="shared" si="4"/>
        <v>Harrodsburg Health &amp; Rehabilitation Center</v>
      </c>
      <c r="C175" s="29" t="str">
        <f t="shared" si="5"/>
        <v>S09150 - Harrodsburg Health &amp; Rehabilitation Center</v>
      </c>
      <c r="D175" s="31" t="str">
        <f xml:space="preserve"> _xll.EPMOlapMemberO("[ENTITY].[H1].[S09150]","","S09150 - Harrodsburg Health &amp; Rehabilitation Center","","000")</f>
        <v>S09150 - Harrodsburg Health &amp; Rehabilitation Center</v>
      </c>
      <c r="E175" s="31" t="str">
        <f xml:space="preserve"> _xll.EPMOlapMemberO("[ACCOUNT].[H1].[PAY_PAT_DAYS]","","PAY_PAT_DAYS - Total Payor Patient Days","","000")</f>
        <v>PAY_PAT_DAYS - Total Payor Patient Days</v>
      </c>
      <c r="F175" s="233">
        <v>2379</v>
      </c>
      <c r="G175" s="233">
        <v>2017</v>
      </c>
      <c r="H175" s="233">
        <v>2254</v>
      </c>
      <c r="I175" s="233">
        <v>2406</v>
      </c>
      <c r="J175">
        <v>2294</v>
      </c>
      <c r="K175">
        <v>1905</v>
      </c>
      <c r="L175">
        <v>2198</v>
      </c>
      <c r="M175">
        <v>2175</v>
      </c>
      <c r="N175">
        <v>2500</v>
      </c>
      <c r="O175">
        <v>2604</v>
      </c>
      <c r="P175">
        <v>2843</v>
      </c>
      <c r="Q175">
        <v>2709</v>
      </c>
    </row>
    <row r="176" spans="1:17" x14ac:dyDescent="0.25">
      <c r="A176" s="29" t="str">
        <f>_xll.EVPRO("Finance",$C176,"Inv_Type")</f>
        <v>Inv_Equity</v>
      </c>
      <c r="B176" s="29" t="str">
        <f t="shared" si="4"/>
        <v>Harrodsburg Health &amp; Rehabilitation Center</v>
      </c>
      <c r="C176" s="29" t="str">
        <f t="shared" si="5"/>
        <v>S09150 - Harrodsburg Health &amp; Rehabilitation Center</v>
      </c>
      <c r="D176" s="31"/>
      <c r="E176" s="2" t="str">
        <f xml:space="preserve"> _xll.EPMOlapMemberO("[ACCOUNT].[H1].[A_BEDS_TOTAL]","","A_BEDS_TOTAL - Total Available Beds","","000")</f>
        <v>A_BEDS_TOTAL - Total Available Beds</v>
      </c>
      <c r="F176" s="233">
        <v>112</v>
      </c>
      <c r="G176" s="233">
        <v>112</v>
      </c>
      <c r="H176" s="233">
        <v>112</v>
      </c>
      <c r="I176" s="233">
        <v>112</v>
      </c>
      <c r="J176">
        <v>112</v>
      </c>
      <c r="K176">
        <v>112</v>
      </c>
      <c r="L176">
        <v>112</v>
      </c>
      <c r="M176">
        <v>112</v>
      </c>
      <c r="N176">
        <v>112</v>
      </c>
      <c r="O176">
        <v>112</v>
      </c>
      <c r="P176">
        <v>112</v>
      </c>
      <c r="Q176">
        <v>112</v>
      </c>
    </row>
    <row r="177" spans="1:17" x14ac:dyDescent="0.25">
      <c r="A177" s="29" t="str">
        <f>_xll.EVPRO("Finance",$C177,"Inv_Type")</f>
        <v>Inv_Equity</v>
      </c>
      <c r="B177" s="29" t="str">
        <f t="shared" si="4"/>
        <v>Harrodsburg Health &amp; Rehabilitation Center</v>
      </c>
      <c r="C177" s="29" t="str">
        <f t="shared" si="5"/>
        <v>S09150 - Harrodsburg Health &amp; Rehabilitation Center</v>
      </c>
      <c r="D177" s="31"/>
      <c r="E177" s="15" t="str">
        <f xml:space="preserve"> _xll.EPMOlapMemberO("[ACCOUNT].[H1].[T_REVENUES]","","T_REVENUES - Total Tenant Revenues","","000")</f>
        <v>T_REVENUES - Total Tenant Revenues</v>
      </c>
      <c r="F177" s="233">
        <v>789629</v>
      </c>
      <c r="G177" s="233">
        <v>674154</v>
      </c>
      <c r="H177" s="233">
        <v>828638</v>
      </c>
      <c r="I177" s="233">
        <v>908673</v>
      </c>
      <c r="J177">
        <v>546187</v>
      </c>
      <c r="K177">
        <v>434553</v>
      </c>
      <c r="L177">
        <v>635941</v>
      </c>
      <c r="M177">
        <v>550952</v>
      </c>
      <c r="N177">
        <v>667440</v>
      </c>
      <c r="O177">
        <v>680436</v>
      </c>
      <c r="P177">
        <v>759910</v>
      </c>
      <c r="Q177">
        <v>728339</v>
      </c>
    </row>
    <row r="178" spans="1:17" x14ac:dyDescent="0.25">
      <c r="A178" s="29" t="str">
        <f>_xll.EVPRO("Finance",$C178,"Inv_Type")</f>
        <v>Inv_Equity</v>
      </c>
      <c r="B178" s="29" t="str">
        <f t="shared" si="4"/>
        <v>Harrodsburg Health &amp; Rehabilitation Center</v>
      </c>
      <c r="C178" s="29" t="str">
        <f t="shared" si="5"/>
        <v>S09150 - Harrodsburg Health &amp; Rehabilitation Center</v>
      </c>
      <c r="D178" s="31"/>
      <c r="E178" s="15" t="str">
        <f xml:space="preserve"> _xll.EPMOlapMemberO("[ACCOUNT].[H1].[T_OPEX]","","T_OPEX - Tenant Operating Expenses","","000")</f>
        <v>T_OPEX - Tenant Operating Expenses</v>
      </c>
      <c r="F178" s="233">
        <v>547380</v>
      </c>
      <c r="G178" s="233">
        <v>599786</v>
      </c>
      <c r="H178" s="233">
        <v>573068</v>
      </c>
      <c r="I178" s="233">
        <v>655783</v>
      </c>
      <c r="J178">
        <v>516543</v>
      </c>
      <c r="K178">
        <v>436745</v>
      </c>
      <c r="L178">
        <v>515261</v>
      </c>
      <c r="M178">
        <v>504440</v>
      </c>
      <c r="N178">
        <v>487081</v>
      </c>
      <c r="O178">
        <v>519029</v>
      </c>
      <c r="P178">
        <v>558549</v>
      </c>
      <c r="Q178">
        <v>611435</v>
      </c>
    </row>
    <row r="179" spans="1:17" x14ac:dyDescent="0.25">
      <c r="A179" s="29" t="str">
        <f>_xll.EVPRO("Finance",$C179,"Inv_Type")</f>
        <v>Inv_Equity</v>
      </c>
      <c r="B179" s="29" t="str">
        <f t="shared" si="4"/>
        <v>Harrodsburg Health &amp; Rehabilitation Center</v>
      </c>
      <c r="C179" s="29" t="str">
        <f t="shared" si="5"/>
        <v>S09150 - Harrodsburg Health &amp; Rehabilitation Center</v>
      </c>
      <c r="D179" s="31"/>
      <c r="E179" s="2" t="str">
        <f xml:space="preserve"> _xll.EPMOlapMemberO("[ACCOUNT].[H1].[T_NON_OP_EXP]","","T_NON_OP_EXP - Tenant Non-Operating Expense","","000")</f>
        <v>T_NON_OP_EXP - Tenant Non-Operating Expense</v>
      </c>
      <c r="F179" s="233">
        <v>12485</v>
      </c>
      <c r="G179" s="233">
        <v>13833</v>
      </c>
      <c r="H179" s="233">
        <v>12929</v>
      </c>
      <c r="I179" s="233">
        <v>9768</v>
      </c>
      <c r="J179">
        <v>10084</v>
      </c>
      <c r="K179">
        <v>10180</v>
      </c>
      <c r="L179">
        <v>9600</v>
      </c>
      <c r="M179">
        <v>11163</v>
      </c>
      <c r="N179">
        <v>10139</v>
      </c>
      <c r="O179">
        <v>10936</v>
      </c>
      <c r="P179">
        <v>11712</v>
      </c>
      <c r="Q179">
        <v>11721</v>
      </c>
    </row>
    <row r="180" spans="1:17" x14ac:dyDescent="0.25">
      <c r="A180" s="29" t="str">
        <f>_xll.EVPRO("Finance",$C180,"Inv_Type")</f>
        <v>Inv_Equity</v>
      </c>
      <c r="B180" s="29" t="str">
        <f t="shared" si="4"/>
        <v>Harrodsburg Health &amp; Rehabilitation Center</v>
      </c>
      <c r="C180" s="29" t="str">
        <f t="shared" si="5"/>
        <v>S09150 - Harrodsburg Health &amp; Rehabilitation Center</v>
      </c>
      <c r="D180" s="31"/>
      <c r="E180" s="16" t="str">
        <f xml:space="preserve"> _xll.EPMOlapMemberO("[ACCOUNT].[H1].[T_BAD_DEBT]","","T_BAD_DEBT - Tenant Bad Debt Expense","","000")</f>
        <v>T_BAD_DEBT - Tenant Bad Debt Expense</v>
      </c>
      <c r="F180" s="233">
        <v>7500</v>
      </c>
      <c r="G180" s="233">
        <v>8988</v>
      </c>
      <c r="H180" s="233">
        <v>5000</v>
      </c>
      <c r="I180" s="233">
        <v>10210</v>
      </c>
      <c r="J180">
        <v>10000</v>
      </c>
      <c r="K180">
        <v>10000</v>
      </c>
      <c r="M180">
        <v>5000</v>
      </c>
    </row>
    <row r="181" spans="1:17" x14ac:dyDescent="0.25">
      <c r="A181" s="29" t="str">
        <f>_xll.EVPRO("Finance",$C181,"Inv_Type")</f>
        <v>Inv_Equity</v>
      </c>
      <c r="B181" s="29" t="str">
        <f t="shared" si="4"/>
        <v>Harrodsburg Health &amp; Rehabilitation Center</v>
      </c>
      <c r="C181" s="29" t="str">
        <f t="shared" si="5"/>
        <v>S09150 - Harrodsburg Health &amp; Rehabilitation Center</v>
      </c>
      <c r="D181" s="31"/>
      <c r="E181" s="3" t="str">
        <f xml:space="preserve"> _xll.EPMOlapMemberO("[ACCOUNT].[H1].[T_EBITDARM]","","T_EBITDARM - EBITDARM","","000")</f>
        <v>T_EBITDARM - EBITDARM</v>
      </c>
      <c r="F181" s="233">
        <v>242249</v>
      </c>
      <c r="G181" s="233">
        <v>74368</v>
      </c>
      <c r="H181" s="233">
        <v>255570</v>
      </c>
      <c r="I181" s="233">
        <v>252890</v>
      </c>
      <c r="J181">
        <v>29644</v>
      </c>
      <c r="K181">
        <v>-2192</v>
      </c>
      <c r="L181">
        <v>120680</v>
      </c>
      <c r="M181">
        <v>46512</v>
      </c>
      <c r="N181">
        <v>180359</v>
      </c>
      <c r="O181">
        <v>161407</v>
      </c>
      <c r="P181">
        <v>201361</v>
      </c>
      <c r="Q181">
        <v>116904</v>
      </c>
    </row>
    <row r="182" spans="1:17" x14ac:dyDescent="0.25">
      <c r="A182" s="29" t="str">
        <f>_xll.EVPRO("Finance",$C182,"Inv_Type")</f>
        <v>Inv_Equity</v>
      </c>
      <c r="B182" s="29" t="str">
        <f t="shared" si="4"/>
        <v>Harrodsburg Health &amp; Rehabilitation Center</v>
      </c>
      <c r="C182" s="29" t="str">
        <f t="shared" si="5"/>
        <v>S09150 - Harrodsburg Health &amp; Rehabilitation Center</v>
      </c>
      <c r="D182" s="31"/>
      <c r="E182" s="3" t="str">
        <f xml:space="preserve"> _xll.EPMOlapMemberO("[ACCOUNT].[H1].[T_MGMT_FEE]","","T_MGMT_FEE - Tenant Management Fee - Actual","","000")</f>
        <v>T_MGMT_FEE - Tenant Management Fee - Actual</v>
      </c>
      <c r="F182" s="233">
        <v>39625</v>
      </c>
      <c r="G182" s="233">
        <v>34045</v>
      </c>
      <c r="H182" s="233">
        <v>41846</v>
      </c>
      <c r="I182" s="233">
        <v>44432</v>
      </c>
      <c r="J182">
        <v>27652</v>
      </c>
      <c r="K182">
        <v>21945</v>
      </c>
      <c r="L182">
        <v>32115</v>
      </c>
      <c r="M182">
        <v>27823</v>
      </c>
      <c r="N182">
        <v>33706</v>
      </c>
      <c r="O182">
        <v>34362</v>
      </c>
      <c r="P182">
        <v>38375</v>
      </c>
      <c r="Q182">
        <v>36781</v>
      </c>
    </row>
    <row r="183" spans="1:17" x14ac:dyDescent="0.25">
      <c r="A183" s="29" t="str">
        <f>_xll.EVPRO("Finance",$C183,"Inv_Type")</f>
        <v>Inv_Equity</v>
      </c>
      <c r="B183" s="29" t="str">
        <f t="shared" si="4"/>
        <v>Harrodsburg Health &amp; Rehabilitation Center</v>
      </c>
      <c r="C183" s="29" t="str">
        <f t="shared" si="5"/>
        <v>S09150 - Harrodsburg Health &amp; Rehabilitation Center</v>
      </c>
      <c r="D183" s="31"/>
      <c r="E183" s="2" t="str">
        <f xml:space="preserve"> _xll.EPMOlapMemberO("[ACCOUNT].[H1].[T_EBITDAR]","","T_EBITDAR - EBITDAR","","000")</f>
        <v>T_EBITDAR - EBITDAR</v>
      </c>
      <c r="F183" s="233">
        <v>202624</v>
      </c>
      <c r="G183" s="233">
        <v>40323</v>
      </c>
      <c r="H183" s="233">
        <v>213724</v>
      </c>
      <c r="I183" s="233">
        <v>208458</v>
      </c>
      <c r="J183">
        <v>1992</v>
      </c>
      <c r="K183">
        <v>-24137</v>
      </c>
      <c r="L183">
        <v>88565</v>
      </c>
      <c r="M183">
        <v>18689</v>
      </c>
      <c r="N183">
        <v>146653</v>
      </c>
      <c r="O183">
        <v>127045</v>
      </c>
      <c r="P183">
        <v>162986</v>
      </c>
      <c r="Q183">
        <v>80123</v>
      </c>
    </row>
    <row r="184" spans="1:17" x14ac:dyDescent="0.25">
      <c r="A184" s="29" t="str">
        <f>_xll.EVPRO("Finance",$C184,"Inv_Type")</f>
        <v>Inv_Equity</v>
      </c>
      <c r="B184" s="29" t="str">
        <f t="shared" si="4"/>
        <v>Harrodsburg Health &amp; Rehabilitation Center</v>
      </c>
      <c r="C184" s="29" t="str">
        <f t="shared" si="5"/>
        <v>S09150 - Harrodsburg Health &amp; Rehabilitation Center</v>
      </c>
      <c r="D184" s="31"/>
      <c r="E184" s="2" t="str">
        <f xml:space="preserve"> _xll.EPMOlapMemberO("[ACCOUNT].[H1].[T_RENT_EXP]","","T_RENT_EXP - Tenant Rent Expense","","000")</f>
        <v>T_RENT_EXP - Tenant Rent Expense</v>
      </c>
      <c r="F184" s="233">
        <v>82292</v>
      </c>
      <c r="G184" s="233">
        <v>82292</v>
      </c>
      <c r="H184" s="233">
        <v>82292</v>
      </c>
      <c r="I184" s="233">
        <v>84350</v>
      </c>
      <c r="J184">
        <v>84350</v>
      </c>
      <c r="K184">
        <v>84350</v>
      </c>
      <c r="L184">
        <v>84350</v>
      </c>
      <c r="M184">
        <v>84350</v>
      </c>
      <c r="N184">
        <v>84350</v>
      </c>
      <c r="O184">
        <v>84350</v>
      </c>
      <c r="P184">
        <v>84350</v>
      </c>
      <c r="Q184">
        <v>84350</v>
      </c>
    </row>
    <row r="185" spans="1:17" x14ac:dyDescent="0.25">
      <c r="A185" s="29" t="str">
        <f>_xll.EVPRO("Finance",$C185,"Inv_Type")</f>
        <v>Inv_Equity</v>
      </c>
      <c r="B185" s="29" t="str">
        <f t="shared" si="4"/>
        <v>SHC of Putnam County</v>
      </c>
      <c r="C185" s="29" t="str">
        <f t="shared" si="5"/>
        <v>S09151 - SHC of Putnam County</v>
      </c>
      <c r="D185" s="31" t="str">
        <f xml:space="preserve"> _xll.EPMOlapMemberO("[ENTITY].[H1].[S09151]","","S09151 - SHC of Putnam County","","000")</f>
        <v>S09151 - SHC of Putnam County</v>
      </c>
      <c r="E185" s="31" t="str">
        <f xml:space="preserve"> _xll.EPMOlapMemberO("[ACCOUNT].[H1].[PAY_PAT_DAYS]","","PAY_PAT_DAYS - Total Payor Patient Days","","000")</f>
        <v>PAY_PAT_DAYS - Total Payor Patient Days</v>
      </c>
      <c r="F185" s="233">
        <v>3696</v>
      </c>
      <c r="G185" s="233">
        <v>3799</v>
      </c>
      <c r="H185" s="233">
        <v>3539</v>
      </c>
      <c r="I185" s="233">
        <v>3443</v>
      </c>
      <c r="J185">
        <v>3622</v>
      </c>
      <c r="K185">
        <v>3476</v>
      </c>
      <c r="L185">
        <v>3733</v>
      </c>
      <c r="M185">
        <v>3498</v>
      </c>
      <c r="N185">
        <v>3767</v>
      </c>
      <c r="O185">
        <v>3551</v>
      </c>
      <c r="P185">
        <v>3892</v>
      </c>
      <c r="Q185">
        <v>3822</v>
      </c>
    </row>
    <row r="186" spans="1:17" x14ac:dyDescent="0.25">
      <c r="A186" s="29" t="str">
        <f>_xll.EVPRO("Finance",$C186,"Inv_Type")</f>
        <v>Inv_Equity</v>
      </c>
      <c r="B186" s="29" t="str">
        <f t="shared" si="4"/>
        <v>SHC of Putnam County</v>
      </c>
      <c r="C186" s="29" t="str">
        <f t="shared" si="5"/>
        <v>S09151 - SHC of Putnam County</v>
      </c>
      <c r="D186" s="31"/>
      <c r="E186" s="2" t="str">
        <f xml:space="preserve"> _xll.EPMOlapMemberO("[ACCOUNT].[H1].[A_BEDS_TOTAL]","","A_BEDS_TOTAL - Total Available Beds","","000")</f>
        <v>A_BEDS_TOTAL - Total Available Beds</v>
      </c>
      <c r="F186" s="233">
        <v>165</v>
      </c>
      <c r="G186" s="233">
        <v>165</v>
      </c>
      <c r="H186" s="233">
        <v>165</v>
      </c>
      <c r="I186" s="233">
        <v>165</v>
      </c>
      <c r="J186">
        <v>165</v>
      </c>
      <c r="K186">
        <v>165</v>
      </c>
      <c r="L186">
        <v>165</v>
      </c>
      <c r="M186">
        <v>165</v>
      </c>
      <c r="N186">
        <v>165</v>
      </c>
      <c r="O186">
        <v>165</v>
      </c>
      <c r="P186">
        <v>165</v>
      </c>
      <c r="Q186">
        <v>165</v>
      </c>
    </row>
    <row r="187" spans="1:17" x14ac:dyDescent="0.25">
      <c r="A187" s="29" t="str">
        <f>_xll.EVPRO("Finance",$C187,"Inv_Type")</f>
        <v>Inv_Equity</v>
      </c>
      <c r="B187" s="29" t="str">
        <f t="shared" ref="B187:B250" si="6">MID($C187,FIND("- ",$C187)+2,10000)</f>
        <v>SHC of Putnam County</v>
      </c>
      <c r="C187" s="29" t="str">
        <f t="shared" si="5"/>
        <v>S09151 - SHC of Putnam County</v>
      </c>
      <c r="D187" s="31"/>
      <c r="E187" s="15" t="str">
        <f xml:space="preserve"> _xll.EPMOlapMemberO("[ACCOUNT].[H1].[T_REVENUES]","","T_REVENUES - Total Tenant Revenues","","000")</f>
        <v>T_REVENUES - Total Tenant Revenues</v>
      </c>
      <c r="F187" s="233">
        <v>1153446</v>
      </c>
      <c r="G187" s="233">
        <v>1701684</v>
      </c>
      <c r="H187" s="233">
        <v>1318558</v>
      </c>
      <c r="I187" s="233">
        <v>1774224</v>
      </c>
      <c r="J187">
        <v>1266665</v>
      </c>
      <c r="K187">
        <v>1087859</v>
      </c>
      <c r="L187">
        <v>1209062</v>
      </c>
      <c r="M187">
        <v>1218069</v>
      </c>
      <c r="N187">
        <v>1160725</v>
      </c>
      <c r="O187">
        <v>1088724</v>
      </c>
      <c r="P187">
        <v>1167207</v>
      </c>
      <c r="Q187">
        <v>1189297</v>
      </c>
    </row>
    <row r="188" spans="1:17" x14ac:dyDescent="0.25">
      <c r="A188" s="29" t="str">
        <f>_xll.EVPRO("Finance",$C188,"Inv_Type")</f>
        <v>Inv_Equity</v>
      </c>
      <c r="B188" s="29" t="str">
        <f t="shared" si="6"/>
        <v>SHC of Putnam County</v>
      </c>
      <c r="C188" s="29" t="str">
        <f t="shared" si="5"/>
        <v>S09151 - SHC of Putnam County</v>
      </c>
      <c r="D188" s="31"/>
      <c r="E188" s="15" t="str">
        <f xml:space="preserve"> _xll.EPMOlapMemberO("[ACCOUNT].[H1].[T_OPEX]","","T_OPEX - Tenant Operating Expenses","","000")</f>
        <v>T_OPEX - Tenant Operating Expenses</v>
      </c>
      <c r="F188" s="233">
        <v>931527</v>
      </c>
      <c r="G188" s="233">
        <v>1079844</v>
      </c>
      <c r="H188" s="233">
        <v>995487</v>
      </c>
      <c r="I188" s="233">
        <v>1181672</v>
      </c>
      <c r="J188">
        <v>910742</v>
      </c>
      <c r="K188">
        <v>868755</v>
      </c>
      <c r="L188">
        <v>887929</v>
      </c>
      <c r="M188">
        <v>885806</v>
      </c>
      <c r="N188">
        <v>908466</v>
      </c>
      <c r="O188">
        <v>896403</v>
      </c>
      <c r="P188">
        <v>970463</v>
      </c>
      <c r="Q188">
        <v>919090</v>
      </c>
    </row>
    <row r="189" spans="1:17" x14ac:dyDescent="0.25">
      <c r="A189" s="29" t="str">
        <f>_xll.EVPRO("Finance",$C189,"Inv_Type")</f>
        <v>Inv_Equity</v>
      </c>
      <c r="B189" s="29" t="str">
        <f t="shared" si="6"/>
        <v>SHC of Putnam County</v>
      </c>
      <c r="C189" s="29" t="str">
        <f t="shared" si="5"/>
        <v>S09151 - SHC of Putnam County</v>
      </c>
      <c r="D189" s="31"/>
      <c r="E189" s="2" t="str">
        <f xml:space="preserve"> _xll.EPMOlapMemberO("[ACCOUNT].[H1].[T_NON_OP_EXP]","","T_NON_OP_EXP - Tenant Non-Operating Expense","","000")</f>
        <v>T_NON_OP_EXP - Tenant Non-Operating Expense</v>
      </c>
      <c r="F189" s="233">
        <v>16450</v>
      </c>
      <c r="G189" s="233">
        <v>39119</v>
      </c>
      <c r="H189" s="233">
        <v>39486</v>
      </c>
      <c r="I189" s="233">
        <v>21976</v>
      </c>
      <c r="J189">
        <v>28608</v>
      </c>
      <c r="K189">
        <v>28996</v>
      </c>
      <c r="L189">
        <v>28610</v>
      </c>
      <c r="M189">
        <v>36562</v>
      </c>
      <c r="N189">
        <v>22974</v>
      </c>
      <c r="O189">
        <v>29695</v>
      </c>
      <c r="P189">
        <v>30848</v>
      </c>
      <c r="Q189">
        <v>30466</v>
      </c>
    </row>
    <row r="190" spans="1:17" x14ac:dyDescent="0.25">
      <c r="A190" s="29" t="str">
        <f>_xll.EVPRO("Finance",$C190,"Inv_Type")</f>
        <v>Inv_Equity</v>
      </c>
      <c r="B190" s="29" t="str">
        <f t="shared" si="6"/>
        <v>SHC of Putnam County</v>
      </c>
      <c r="C190" s="29" t="str">
        <f t="shared" si="5"/>
        <v>S09151 - SHC of Putnam County</v>
      </c>
      <c r="D190" s="31"/>
      <c r="E190" s="16" t="str">
        <f xml:space="preserve"> _xll.EPMOlapMemberO("[ACCOUNT].[H1].[T_BAD_DEBT]","","T_BAD_DEBT - Tenant Bad Debt Expense","","000")</f>
        <v>T_BAD_DEBT - Tenant Bad Debt Expense</v>
      </c>
      <c r="F190" s="233">
        <v>15090</v>
      </c>
      <c r="G190" s="233">
        <v>20242</v>
      </c>
      <c r="H190" s="233"/>
      <c r="I190" s="233">
        <v>11832</v>
      </c>
      <c r="J190">
        <v>5000</v>
      </c>
      <c r="K190">
        <v>5000</v>
      </c>
      <c r="O190">
        <v>20665</v>
      </c>
      <c r="P190">
        <v>32599</v>
      </c>
      <c r="Q190">
        <v>24220</v>
      </c>
    </row>
    <row r="191" spans="1:17" x14ac:dyDescent="0.25">
      <c r="A191" s="29" t="str">
        <f>_xll.EVPRO("Finance",$C191,"Inv_Type")</f>
        <v>Inv_Equity</v>
      </c>
      <c r="B191" s="29" t="str">
        <f t="shared" si="6"/>
        <v>SHC of Putnam County</v>
      </c>
      <c r="C191" s="29" t="str">
        <f t="shared" si="5"/>
        <v>S09151 - SHC of Putnam County</v>
      </c>
      <c r="D191" s="31"/>
      <c r="E191" s="3" t="str">
        <f xml:space="preserve"> _xll.EPMOlapMemberO("[ACCOUNT].[H1].[T_EBITDARM]","","T_EBITDARM - EBITDARM","","000")</f>
        <v>T_EBITDARM - EBITDARM</v>
      </c>
      <c r="F191" s="233">
        <v>221919</v>
      </c>
      <c r="G191" s="233">
        <v>621840</v>
      </c>
      <c r="H191" s="233">
        <v>323071</v>
      </c>
      <c r="I191" s="233">
        <v>592552</v>
      </c>
      <c r="J191">
        <v>355923</v>
      </c>
      <c r="K191">
        <v>219104</v>
      </c>
      <c r="L191">
        <v>321133</v>
      </c>
      <c r="M191">
        <v>332263</v>
      </c>
      <c r="N191">
        <v>252259</v>
      </c>
      <c r="O191">
        <v>192321</v>
      </c>
      <c r="P191">
        <v>196744</v>
      </c>
      <c r="Q191">
        <v>270207</v>
      </c>
    </row>
    <row r="192" spans="1:17" x14ac:dyDescent="0.25">
      <c r="A192" s="29" t="str">
        <f>_xll.EVPRO("Finance",$C192,"Inv_Type")</f>
        <v>Inv_Equity</v>
      </c>
      <c r="B192" s="29" t="str">
        <f t="shared" si="6"/>
        <v>SHC of Putnam County</v>
      </c>
      <c r="C192" s="29" t="str">
        <f t="shared" si="5"/>
        <v>S09151 - SHC of Putnam County</v>
      </c>
      <c r="D192" s="31"/>
      <c r="E192" s="3" t="str">
        <f xml:space="preserve"> _xll.EPMOlapMemberO("[ACCOUNT].[H1].[T_MGMT_FEE]","","T_MGMT_FEE - Tenant Management Fee - Actual","","000")</f>
        <v>T_MGMT_FEE - Tenant Management Fee - Actual</v>
      </c>
      <c r="F192" s="233">
        <v>58161</v>
      </c>
      <c r="G192" s="233">
        <v>85935</v>
      </c>
      <c r="H192" s="233">
        <v>66587</v>
      </c>
      <c r="I192" s="233">
        <v>92793</v>
      </c>
      <c r="J192">
        <v>63967</v>
      </c>
      <c r="K192">
        <v>54937</v>
      </c>
      <c r="L192">
        <v>61058</v>
      </c>
      <c r="M192">
        <v>61513</v>
      </c>
      <c r="N192">
        <v>58617</v>
      </c>
      <c r="O192">
        <v>54980</v>
      </c>
      <c r="P192">
        <v>58944</v>
      </c>
      <c r="Q192">
        <v>60060</v>
      </c>
    </row>
    <row r="193" spans="1:17" x14ac:dyDescent="0.25">
      <c r="A193" s="29" t="str">
        <f>_xll.EVPRO("Finance",$C193,"Inv_Type")</f>
        <v>Inv_Equity</v>
      </c>
      <c r="B193" s="29" t="str">
        <f t="shared" si="6"/>
        <v>SHC of Putnam County</v>
      </c>
      <c r="C193" s="29" t="str">
        <f t="shared" si="5"/>
        <v>S09151 - SHC of Putnam County</v>
      </c>
      <c r="D193" s="31"/>
      <c r="E193" s="2" t="str">
        <f xml:space="preserve"> _xll.EPMOlapMemberO("[ACCOUNT].[H1].[T_EBITDAR]","","T_EBITDAR - EBITDAR","","000")</f>
        <v>T_EBITDAR - EBITDAR</v>
      </c>
      <c r="F193" s="233">
        <v>163758</v>
      </c>
      <c r="G193" s="233">
        <v>535905</v>
      </c>
      <c r="H193" s="233">
        <v>256484</v>
      </c>
      <c r="I193" s="233">
        <v>499759</v>
      </c>
      <c r="J193">
        <v>291956</v>
      </c>
      <c r="K193">
        <v>164167</v>
      </c>
      <c r="L193">
        <v>260075</v>
      </c>
      <c r="M193">
        <v>270750</v>
      </c>
      <c r="N193">
        <v>193642</v>
      </c>
      <c r="O193">
        <v>137341</v>
      </c>
      <c r="P193">
        <v>137800</v>
      </c>
      <c r="Q193">
        <v>210147</v>
      </c>
    </row>
    <row r="194" spans="1:17" x14ac:dyDescent="0.25">
      <c r="A194" s="29" t="str">
        <f>_xll.EVPRO("Finance",$C194,"Inv_Type")</f>
        <v>Inv_Equity</v>
      </c>
      <c r="B194" s="29" t="str">
        <f t="shared" si="6"/>
        <v>SHC of Putnam County</v>
      </c>
      <c r="C194" s="29" t="str">
        <f t="shared" si="5"/>
        <v>S09151 - SHC of Putnam County</v>
      </c>
      <c r="D194" s="31"/>
      <c r="E194" s="2" t="str">
        <f xml:space="preserve"> _xll.EPMOlapMemberO("[ACCOUNT].[H1].[T_RENT_EXP]","","T_RENT_EXP - Tenant Rent Expense","","000")</f>
        <v>T_RENT_EXP - Tenant Rent Expense</v>
      </c>
      <c r="F194" s="233">
        <v>317549</v>
      </c>
      <c r="G194" s="233">
        <v>317549</v>
      </c>
      <c r="H194" s="233">
        <v>317549</v>
      </c>
      <c r="I194" s="233">
        <v>325487</v>
      </c>
      <c r="J194">
        <v>325487</v>
      </c>
      <c r="K194">
        <v>325487</v>
      </c>
      <c r="L194">
        <v>325487</v>
      </c>
      <c r="M194">
        <v>325487</v>
      </c>
      <c r="N194">
        <v>325487</v>
      </c>
      <c r="O194">
        <v>325487</v>
      </c>
      <c r="P194">
        <v>325487</v>
      </c>
      <c r="Q194">
        <v>325487</v>
      </c>
    </row>
    <row r="195" spans="1:17" x14ac:dyDescent="0.25">
      <c r="A195" s="29" t="str">
        <f>_xll.EVPRO("Finance",$C195,"Inv_Type")</f>
        <v>Inv_Equity</v>
      </c>
      <c r="B195" s="29" t="str">
        <f t="shared" si="6"/>
        <v>SHC of Fayette County</v>
      </c>
      <c r="C195" s="29" t="str">
        <f t="shared" si="5"/>
        <v>S09195 - SHC of Fayette County</v>
      </c>
      <c r="D195" s="31" t="str">
        <f xml:space="preserve"> _xll.EPMOlapMemberO("[ENTITY].[H1].[S09195]","","S09195 - SHC of Fayette County","","000")</f>
        <v>S09195 - SHC of Fayette County</v>
      </c>
      <c r="E195" s="31" t="str">
        <f xml:space="preserve"> _xll.EPMOlapMemberO("[ACCOUNT].[H1].[PAY_PAT_DAYS]","","PAY_PAT_DAYS - Total Payor Patient Days","","000")</f>
        <v>PAY_PAT_DAYS - Total Payor Patient Days</v>
      </c>
      <c r="F195" s="233">
        <v>1627</v>
      </c>
      <c r="G195" s="233">
        <v>1659</v>
      </c>
      <c r="H195" s="233">
        <v>1395</v>
      </c>
      <c r="I195" s="233">
        <v>1343</v>
      </c>
      <c r="J195">
        <v>1534</v>
      </c>
      <c r="K195">
        <v>1424</v>
      </c>
      <c r="L195">
        <v>1635</v>
      </c>
      <c r="M195">
        <v>1547</v>
      </c>
      <c r="N195">
        <v>1637</v>
      </c>
      <c r="O195">
        <v>1649</v>
      </c>
      <c r="P195">
        <v>1604</v>
      </c>
      <c r="Q195">
        <v>1561</v>
      </c>
    </row>
    <row r="196" spans="1:17" x14ac:dyDescent="0.25">
      <c r="A196" s="29" t="str">
        <f>_xll.EVPRO("Finance",$C196,"Inv_Type")</f>
        <v>Inv_Equity</v>
      </c>
      <c r="B196" s="29" t="str">
        <f t="shared" si="6"/>
        <v>SHC of Fayette County</v>
      </c>
      <c r="C196" s="29" t="str">
        <f t="shared" si="5"/>
        <v>S09195 - SHC of Fayette County</v>
      </c>
      <c r="D196" s="31"/>
      <c r="E196" s="2" t="str">
        <f xml:space="preserve"> _xll.EPMOlapMemberO("[ACCOUNT].[H1].[A_BEDS_TOTAL]","","A_BEDS_TOTAL - Total Available Beds","","000")</f>
        <v>A_BEDS_TOTAL - Total Available Beds</v>
      </c>
      <c r="F196" s="233">
        <v>95</v>
      </c>
      <c r="G196" s="233">
        <v>95</v>
      </c>
      <c r="H196" s="233">
        <v>95</v>
      </c>
      <c r="I196" s="233">
        <v>95</v>
      </c>
      <c r="J196">
        <v>95</v>
      </c>
      <c r="K196">
        <v>95</v>
      </c>
      <c r="L196">
        <v>95</v>
      </c>
      <c r="M196">
        <v>95</v>
      </c>
      <c r="N196">
        <v>95</v>
      </c>
      <c r="O196">
        <v>95</v>
      </c>
      <c r="P196">
        <v>95</v>
      </c>
      <c r="Q196">
        <v>95</v>
      </c>
    </row>
    <row r="197" spans="1:17" x14ac:dyDescent="0.25">
      <c r="A197" s="29" t="str">
        <f>_xll.EVPRO("Finance",$C197,"Inv_Type")</f>
        <v>Inv_Equity</v>
      </c>
      <c r="B197" s="29" t="str">
        <f t="shared" si="6"/>
        <v>SHC of Fayette County</v>
      </c>
      <c r="C197" s="29" t="str">
        <f t="shared" si="5"/>
        <v>S09195 - SHC of Fayette County</v>
      </c>
      <c r="D197" s="31"/>
      <c r="E197" s="15" t="str">
        <f xml:space="preserve"> _xll.EPMOlapMemberO("[ACCOUNT].[H1].[T_REVENUES]","","T_REVENUES - Total Tenant Revenues","","000")</f>
        <v>T_REVENUES - Total Tenant Revenues</v>
      </c>
      <c r="F197" s="233">
        <v>454236</v>
      </c>
      <c r="G197" s="233">
        <v>614164</v>
      </c>
      <c r="H197" s="233">
        <v>489001</v>
      </c>
      <c r="I197" s="233">
        <v>333117</v>
      </c>
      <c r="J197">
        <v>425688</v>
      </c>
      <c r="K197">
        <v>369928</v>
      </c>
      <c r="L197">
        <v>335134</v>
      </c>
      <c r="M197">
        <v>376528</v>
      </c>
      <c r="N197">
        <v>371466</v>
      </c>
      <c r="O197">
        <v>343743</v>
      </c>
      <c r="P197">
        <v>410742</v>
      </c>
      <c r="Q197">
        <v>394800</v>
      </c>
    </row>
    <row r="198" spans="1:17" x14ac:dyDescent="0.25">
      <c r="A198" s="29" t="str">
        <f>_xll.EVPRO("Finance",$C198,"Inv_Type")</f>
        <v>Inv_Equity</v>
      </c>
      <c r="B198" s="29" t="str">
        <f t="shared" si="6"/>
        <v>SHC of Fayette County</v>
      </c>
      <c r="C198" s="29" t="str">
        <f t="shared" ref="C198:C261" si="7">IF($D198&lt;&gt;"",$D198,C197)</f>
        <v>S09195 - SHC of Fayette County</v>
      </c>
      <c r="D198" s="31"/>
      <c r="E198" s="15" t="str">
        <f xml:space="preserve"> _xll.EPMOlapMemberO("[ACCOUNT].[H1].[T_OPEX]","","T_OPEX - Tenant Operating Expenses","","000")</f>
        <v>T_OPEX - Tenant Operating Expenses</v>
      </c>
      <c r="F198" s="233">
        <v>403882</v>
      </c>
      <c r="G198" s="233">
        <v>415964</v>
      </c>
      <c r="H198" s="233">
        <v>341494</v>
      </c>
      <c r="I198" s="233">
        <v>450467</v>
      </c>
      <c r="J198">
        <v>389816</v>
      </c>
      <c r="K198">
        <v>357880</v>
      </c>
      <c r="L198">
        <v>384984</v>
      </c>
      <c r="M198">
        <v>382721</v>
      </c>
      <c r="N198">
        <v>384007</v>
      </c>
      <c r="O198">
        <v>409891</v>
      </c>
      <c r="P198">
        <v>413643</v>
      </c>
      <c r="Q198">
        <v>419291</v>
      </c>
    </row>
    <row r="199" spans="1:17" x14ac:dyDescent="0.25">
      <c r="A199" s="29" t="str">
        <f>_xll.EVPRO("Finance",$C199,"Inv_Type")</f>
        <v>Inv_Equity</v>
      </c>
      <c r="B199" s="29" t="str">
        <f t="shared" si="6"/>
        <v>SHC of Fayette County</v>
      </c>
      <c r="C199" s="29" t="str">
        <f t="shared" si="7"/>
        <v>S09195 - SHC of Fayette County</v>
      </c>
      <c r="D199" s="31"/>
      <c r="E199" s="2" t="str">
        <f xml:space="preserve"> _xll.EPMOlapMemberO("[ACCOUNT].[H1].[T_NON_OP_EXP]","","T_NON_OP_EXP - Tenant Non-Operating Expense","","000")</f>
        <v>T_NON_OP_EXP - Tenant Non-Operating Expense</v>
      </c>
      <c r="F199" s="233">
        <v>6145</v>
      </c>
      <c r="G199" s="233">
        <v>6919</v>
      </c>
      <c r="H199" s="233">
        <v>6476</v>
      </c>
      <c r="I199" s="233">
        <v>5440</v>
      </c>
      <c r="J199">
        <v>8984</v>
      </c>
      <c r="K199">
        <v>5767</v>
      </c>
      <c r="L199">
        <v>5549</v>
      </c>
      <c r="M199">
        <v>7633</v>
      </c>
      <c r="N199">
        <v>5527</v>
      </c>
      <c r="O199">
        <v>6618</v>
      </c>
      <c r="P199">
        <v>7065</v>
      </c>
      <c r="Q199">
        <v>6713</v>
      </c>
    </row>
    <row r="200" spans="1:17" x14ac:dyDescent="0.25">
      <c r="A200" s="29" t="str">
        <f>_xll.EVPRO("Finance",$C200,"Inv_Type")</f>
        <v>Inv_Equity</v>
      </c>
      <c r="B200" s="29" t="str">
        <f t="shared" si="6"/>
        <v>SHC of Fayette County</v>
      </c>
      <c r="C200" s="29" t="str">
        <f t="shared" si="7"/>
        <v>S09195 - SHC of Fayette County</v>
      </c>
      <c r="D200" s="31"/>
      <c r="E200" s="16" t="str">
        <f xml:space="preserve"> _xll.EPMOlapMemberO("[ACCOUNT].[H1].[T_BAD_DEBT]","","T_BAD_DEBT - Tenant Bad Debt Expense","","000")</f>
        <v>T_BAD_DEBT - Tenant Bad Debt Expense</v>
      </c>
      <c r="F200" s="233">
        <v>12263</v>
      </c>
      <c r="G200" s="233">
        <v>24964</v>
      </c>
      <c r="H200" s="233">
        <v>17500</v>
      </c>
      <c r="I200" s="233">
        <v>43942</v>
      </c>
      <c r="J200">
        <v>6410</v>
      </c>
      <c r="K200">
        <v>7000</v>
      </c>
      <c r="M200">
        <v>5000</v>
      </c>
      <c r="P200">
        <v>15000</v>
      </c>
      <c r="Q200">
        <v>5000</v>
      </c>
    </row>
    <row r="201" spans="1:17" x14ac:dyDescent="0.25">
      <c r="A201" s="29" t="str">
        <f>_xll.EVPRO("Finance",$C201,"Inv_Type")</f>
        <v>Inv_Equity</v>
      </c>
      <c r="B201" s="29" t="str">
        <f t="shared" si="6"/>
        <v>SHC of Fayette County</v>
      </c>
      <c r="C201" s="29" t="str">
        <f t="shared" si="7"/>
        <v>S09195 - SHC of Fayette County</v>
      </c>
      <c r="D201" s="31"/>
      <c r="E201" s="3" t="str">
        <f xml:space="preserve"> _xll.EPMOlapMemberO("[ACCOUNT].[H1].[T_EBITDARM]","","T_EBITDARM - EBITDARM","","000")</f>
        <v>T_EBITDARM - EBITDARM</v>
      </c>
      <c r="F201" s="233">
        <v>50354</v>
      </c>
      <c r="G201" s="233">
        <v>198200</v>
      </c>
      <c r="H201" s="233">
        <v>147507</v>
      </c>
      <c r="I201" s="233">
        <v>-117350</v>
      </c>
      <c r="J201">
        <v>35872</v>
      </c>
      <c r="K201">
        <v>12048</v>
      </c>
      <c r="L201">
        <v>-49850</v>
      </c>
      <c r="M201">
        <v>-6193</v>
      </c>
      <c r="N201">
        <v>-12541</v>
      </c>
      <c r="O201">
        <v>-66148</v>
      </c>
      <c r="P201">
        <v>-2901</v>
      </c>
      <c r="Q201">
        <v>-24491</v>
      </c>
    </row>
    <row r="202" spans="1:17" x14ac:dyDescent="0.25">
      <c r="A202" s="29" t="str">
        <f>_xll.EVPRO("Finance",$C202,"Inv_Type")</f>
        <v>Inv_Equity</v>
      </c>
      <c r="B202" s="29" t="str">
        <f t="shared" si="6"/>
        <v>SHC of Fayette County</v>
      </c>
      <c r="C202" s="29" t="str">
        <f t="shared" si="7"/>
        <v>S09195 - SHC of Fayette County</v>
      </c>
      <c r="D202" s="31"/>
      <c r="E202" s="3" t="str">
        <f xml:space="preserve"> _xll.EPMOlapMemberO("[ACCOUNT].[H1].[T_MGMT_FEE]","","T_MGMT_FEE - Tenant Management Fee - Actual","","000")</f>
        <v>T_MGMT_FEE - Tenant Management Fee - Actual</v>
      </c>
      <c r="F202" s="233">
        <v>22699</v>
      </c>
      <c r="G202" s="233">
        <v>31015</v>
      </c>
      <c r="H202" s="233">
        <v>24695</v>
      </c>
      <c r="I202" s="233">
        <v>16822</v>
      </c>
      <c r="J202">
        <v>21497</v>
      </c>
      <c r="K202">
        <v>18681</v>
      </c>
      <c r="L202">
        <v>16924</v>
      </c>
      <c r="M202">
        <v>19015</v>
      </c>
      <c r="N202">
        <v>18759</v>
      </c>
      <c r="O202">
        <v>17359</v>
      </c>
      <c r="P202">
        <v>20742</v>
      </c>
      <c r="Q202">
        <v>19937</v>
      </c>
    </row>
    <row r="203" spans="1:17" x14ac:dyDescent="0.25">
      <c r="A203" s="29" t="str">
        <f>_xll.EVPRO("Finance",$C203,"Inv_Type")</f>
        <v>Inv_Equity</v>
      </c>
      <c r="B203" s="29" t="str">
        <f t="shared" si="6"/>
        <v>SHC of Fayette County</v>
      </c>
      <c r="C203" s="29" t="str">
        <f t="shared" si="7"/>
        <v>S09195 - SHC of Fayette County</v>
      </c>
      <c r="D203" s="31"/>
      <c r="E203" s="2" t="str">
        <f xml:space="preserve"> _xll.EPMOlapMemberO("[ACCOUNT].[H1].[T_EBITDAR]","","T_EBITDAR - EBITDAR","","000")</f>
        <v>T_EBITDAR - EBITDAR</v>
      </c>
      <c r="F203" s="233">
        <v>27655</v>
      </c>
      <c r="G203" s="233">
        <v>167185</v>
      </c>
      <c r="H203" s="233">
        <v>122812</v>
      </c>
      <c r="I203" s="233">
        <v>-134172</v>
      </c>
      <c r="J203">
        <v>14375</v>
      </c>
      <c r="K203">
        <v>-6633</v>
      </c>
      <c r="L203">
        <v>-66774</v>
      </c>
      <c r="M203">
        <v>-25208</v>
      </c>
      <c r="N203">
        <v>-31300</v>
      </c>
      <c r="O203">
        <v>-83507</v>
      </c>
      <c r="P203">
        <v>-23643</v>
      </c>
      <c r="Q203">
        <v>-44428</v>
      </c>
    </row>
    <row r="204" spans="1:17" x14ac:dyDescent="0.25">
      <c r="A204" s="29" t="str">
        <f>_xll.EVPRO("Finance",$C204,"Inv_Type")</f>
        <v>Inv_Equity</v>
      </c>
      <c r="B204" s="29" t="str">
        <f t="shared" si="6"/>
        <v>SHC of Fayette County</v>
      </c>
      <c r="C204" s="29" t="str">
        <f t="shared" si="7"/>
        <v>S09195 - SHC of Fayette County</v>
      </c>
      <c r="D204" s="31"/>
      <c r="E204" s="2" t="str">
        <f xml:space="preserve"> _xll.EPMOlapMemberO("[ACCOUNT].[H1].[T_RENT_EXP]","","T_RENT_EXP - Tenant Rent Expense","","000")</f>
        <v>T_RENT_EXP - Tenant Rent Expense</v>
      </c>
      <c r="F204" s="233">
        <v>405</v>
      </c>
      <c r="G204" s="233">
        <v>405</v>
      </c>
      <c r="H204" s="233">
        <v>405</v>
      </c>
      <c r="I204" s="233">
        <v>415</v>
      </c>
      <c r="J204">
        <v>415</v>
      </c>
      <c r="K204">
        <v>415</v>
      </c>
      <c r="L204">
        <v>415</v>
      </c>
      <c r="M204">
        <v>415</v>
      </c>
      <c r="N204">
        <v>415</v>
      </c>
      <c r="O204">
        <v>415</v>
      </c>
      <c r="P204">
        <v>415</v>
      </c>
      <c r="Q204">
        <v>415</v>
      </c>
    </row>
    <row r="205" spans="1:17" x14ac:dyDescent="0.25">
      <c r="A205" s="29" t="str">
        <f>_xll.EVPRO("Finance",$C205,"Inv_Type")</f>
        <v>Inv_Equity</v>
      </c>
      <c r="B205" s="29" t="str">
        <f t="shared" si="6"/>
        <v>SHC of Warren</v>
      </c>
      <c r="C205" s="29" t="str">
        <f t="shared" si="7"/>
        <v>S09196 - SHC of Warren</v>
      </c>
      <c r="D205" s="31" t="str">
        <f xml:space="preserve"> _xll.EPMOlapMemberO("[ENTITY].[H1].[S09196]","","S09196 - SHC of Warren","","000")</f>
        <v>S09196 - SHC of Warren</v>
      </c>
      <c r="E205" s="15" t="str">
        <f xml:space="preserve"> _xll.EPMOlapMemberO("[ACCOUNT].[H1].[T_REVENUES]","","T_REVENUES - Total Tenant Revenues","","000")</f>
        <v>T_REVENUES - Total Tenant Revenues</v>
      </c>
      <c r="F205" s="233"/>
      <c r="G205" s="233"/>
      <c r="H205" s="233"/>
      <c r="I205" s="233">
        <v>-10703</v>
      </c>
    </row>
    <row r="206" spans="1:17" x14ac:dyDescent="0.25">
      <c r="A206" s="29" t="str">
        <f>_xll.EVPRO("Finance",$C206,"Inv_Type")</f>
        <v>Inv_Equity</v>
      </c>
      <c r="B206" s="29" t="str">
        <f t="shared" si="6"/>
        <v>SHC of Warren</v>
      </c>
      <c r="C206" s="29" t="str">
        <f t="shared" si="7"/>
        <v>S09196 - SHC of Warren</v>
      </c>
      <c r="D206" s="31"/>
      <c r="E206" s="3" t="str">
        <f xml:space="preserve"> _xll.EPMOlapMemberO("[ACCOUNT].[H1].[T_EBITDARM]","","T_EBITDARM - EBITDARM","","000")</f>
        <v>T_EBITDARM - EBITDARM</v>
      </c>
      <c r="F206" s="233"/>
      <c r="G206" s="233"/>
      <c r="H206" s="233"/>
      <c r="I206" s="233">
        <v>-10703</v>
      </c>
    </row>
    <row r="207" spans="1:17" x14ac:dyDescent="0.25">
      <c r="A207" s="29" t="str">
        <f>_xll.EVPRO("Finance",$C207,"Inv_Type")</f>
        <v>Inv_Equity</v>
      </c>
      <c r="B207" s="29" t="str">
        <f t="shared" si="6"/>
        <v>SHC of Warren</v>
      </c>
      <c r="C207" s="29" t="str">
        <f t="shared" si="7"/>
        <v>S09196 - SHC of Warren</v>
      </c>
      <c r="D207" s="31"/>
      <c r="E207" s="3" t="str">
        <f xml:space="preserve"> _xll.EPMOlapMemberO("[ACCOUNT].[H1].[T_MGMT_FEE]","","T_MGMT_FEE - Tenant Management Fee - Actual","","000")</f>
        <v>T_MGMT_FEE - Tenant Management Fee - Actual</v>
      </c>
      <c r="F207" s="233"/>
      <c r="G207" s="233"/>
      <c r="H207" s="233"/>
      <c r="I207" s="233">
        <v>-541</v>
      </c>
    </row>
    <row r="208" spans="1:17" x14ac:dyDescent="0.25">
      <c r="A208" s="29" t="str">
        <f>_xll.EVPRO("Finance",$C208,"Inv_Type")</f>
        <v>Inv_Equity</v>
      </c>
      <c r="B208" s="29" t="str">
        <f t="shared" si="6"/>
        <v>SHC of Warren</v>
      </c>
      <c r="C208" s="29" t="str">
        <f t="shared" si="7"/>
        <v>S09196 - SHC of Warren</v>
      </c>
      <c r="D208" s="31"/>
      <c r="E208" s="2" t="str">
        <f xml:space="preserve"> _xll.EPMOlapMemberO("[ACCOUNT].[H1].[T_EBITDAR]","","T_EBITDAR - EBITDAR","","000")</f>
        <v>T_EBITDAR - EBITDAR</v>
      </c>
      <c r="F208" s="233"/>
      <c r="G208" s="233"/>
      <c r="H208" s="233"/>
      <c r="I208" s="233">
        <v>-10162</v>
      </c>
    </row>
    <row r="209" spans="1:17" x14ac:dyDescent="0.25">
      <c r="A209" s="29" t="str">
        <f>_xll.EVPRO("Finance",$C209,"Inv_Type")</f>
        <v>Inv_Equity</v>
      </c>
      <c r="B209" s="29" t="str">
        <f t="shared" si="6"/>
        <v>SHC of Galion</v>
      </c>
      <c r="C209" s="29" t="str">
        <f t="shared" si="7"/>
        <v>S09197 - SHC of Galion</v>
      </c>
      <c r="D209" s="31" t="str">
        <f xml:space="preserve"> _xll.EPMOlapMemberO("[ENTITY].[H1].[S09197]","","S09197 - SHC of Galion","","000")</f>
        <v>S09197 - SHC of Galion</v>
      </c>
      <c r="E209" s="31" t="str">
        <f xml:space="preserve"> _xll.EPMOlapMemberO("[ACCOUNT].[H1].[PAY_PAT_DAYS]","","PAY_PAT_DAYS - Total Payor Patient Days","","000")</f>
        <v>PAY_PAT_DAYS - Total Payor Patient Days</v>
      </c>
      <c r="F209" s="233">
        <v>1571</v>
      </c>
      <c r="G209" s="233">
        <v>1665</v>
      </c>
      <c r="H209" s="233">
        <v>1731</v>
      </c>
      <c r="I209" s="233">
        <v>1565</v>
      </c>
      <c r="J209">
        <v>1537</v>
      </c>
      <c r="K209">
        <v>1381</v>
      </c>
      <c r="L209">
        <v>1545</v>
      </c>
      <c r="M209">
        <v>1477</v>
      </c>
      <c r="N209">
        <v>1576</v>
      </c>
      <c r="O209">
        <v>1627</v>
      </c>
      <c r="P209">
        <v>1718</v>
      </c>
      <c r="Q209">
        <v>1843</v>
      </c>
    </row>
    <row r="210" spans="1:17" x14ac:dyDescent="0.25">
      <c r="A210" s="29" t="str">
        <f>_xll.EVPRO("Finance",$C210,"Inv_Type")</f>
        <v>Inv_Equity</v>
      </c>
      <c r="B210" s="29" t="str">
        <f t="shared" si="6"/>
        <v>SHC of Galion</v>
      </c>
      <c r="C210" s="29" t="str">
        <f t="shared" si="7"/>
        <v>S09197 - SHC of Galion</v>
      </c>
      <c r="D210" s="31"/>
      <c r="E210" s="2" t="str">
        <f xml:space="preserve"> _xll.EPMOlapMemberO("[ACCOUNT].[H1].[A_BEDS_TOTAL]","","A_BEDS_TOTAL - Total Available Beds","","000")</f>
        <v>A_BEDS_TOTAL - Total Available Beds</v>
      </c>
      <c r="F210" s="233">
        <v>62</v>
      </c>
      <c r="G210" s="233">
        <v>62</v>
      </c>
      <c r="H210" s="233">
        <v>62</v>
      </c>
      <c r="I210" s="233">
        <v>62</v>
      </c>
      <c r="J210">
        <v>62</v>
      </c>
      <c r="K210">
        <v>62</v>
      </c>
      <c r="L210">
        <v>62</v>
      </c>
      <c r="M210">
        <v>62</v>
      </c>
      <c r="N210">
        <v>62</v>
      </c>
      <c r="O210">
        <v>62</v>
      </c>
      <c r="P210">
        <v>62</v>
      </c>
      <c r="Q210">
        <v>62</v>
      </c>
    </row>
    <row r="211" spans="1:17" x14ac:dyDescent="0.25">
      <c r="A211" s="29" t="str">
        <f>_xll.EVPRO("Finance",$C211,"Inv_Type")</f>
        <v>Inv_Equity</v>
      </c>
      <c r="B211" s="29" t="str">
        <f t="shared" si="6"/>
        <v>SHC of Galion</v>
      </c>
      <c r="C211" s="29" t="str">
        <f t="shared" si="7"/>
        <v>S09197 - SHC of Galion</v>
      </c>
      <c r="D211" s="31"/>
      <c r="E211" s="15" t="str">
        <f xml:space="preserve"> _xll.EPMOlapMemberO("[ACCOUNT].[H1].[T_REVENUES]","","T_REVENUES - Total Tenant Revenues","","000")</f>
        <v>T_REVENUES - Total Tenant Revenues</v>
      </c>
      <c r="F211" s="233">
        <v>446666</v>
      </c>
      <c r="G211" s="233">
        <v>583681</v>
      </c>
      <c r="H211" s="233">
        <v>381866</v>
      </c>
      <c r="I211" s="233">
        <v>360159</v>
      </c>
      <c r="J211">
        <v>449818</v>
      </c>
      <c r="K211">
        <v>391587</v>
      </c>
      <c r="L211">
        <v>428920</v>
      </c>
      <c r="M211">
        <v>401467</v>
      </c>
      <c r="N211">
        <v>410921</v>
      </c>
      <c r="O211">
        <v>396125</v>
      </c>
      <c r="P211">
        <v>444393</v>
      </c>
      <c r="Q211">
        <v>490760</v>
      </c>
    </row>
    <row r="212" spans="1:17" x14ac:dyDescent="0.25">
      <c r="A212" s="29" t="str">
        <f>_xll.EVPRO("Finance",$C212,"Inv_Type")</f>
        <v>Inv_Equity</v>
      </c>
      <c r="B212" s="29" t="str">
        <f t="shared" si="6"/>
        <v>SHC of Galion</v>
      </c>
      <c r="C212" s="29" t="str">
        <f t="shared" si="7"/>
        <v>S09197 - SHC of Galion</v>
      </c>
      <c r="D212" s="31"/>
      <c r="E212" s="15" t="str">
        <f xml:space="preserve"> _xll.EPMOlapMemberO("[ACCOUNT].[H1].[T_OPEX]","","T_OPEX - Tenant Operating Expenses","","000")</f>
        <v>T_OPEX - Tenant Operating Expenses</v>
      </c>
      <c r="F212" s="233">
        <v>454774</v>
      </c>
      <c r="G212" s="233">
        <v>388593</v>
      </c>
      <c r="H212" s="233">
        <v>251788</v>
      </c>
      <c r="I212" s="233">
        <v>476495</v>
      </c>
      <c r="J212">
        <v>405503</v>
      </c>
      <c r="K212">
        <v>327373</v>
      </c>
      <c r="L212">
        <v>421027</v>
      </c>
      <c r="M212">
        <v>407658</v>
      </c>
      <c r="N212">
        <v>345101</v>
      </c>
      <c r="O212">
        <v>401895</v>
      </c>
      <c r="P212">
        <v>385983</v>
      </c>
      <c r="Q212">
        <v>398537</v>
      </c>
    </row>
    <row r="213" spans="1:17" x14ac:dyDescent="0.25">
      <c r="A213" s="29" t="str">
        <f>_xll.EVPRO("Finance",$C213,"Inv_Type")</f>
        <v>Inv_Equity</v>
      </c>
      <c r="B213" s="29" t="str">
        <f t="shared" si="6"/>
        <v>SHC of Galion</v>
      </c>
      <c r="C213" s="29" t="str">
        <f t="shared" si="7"/>
        <v>S09197 - SHC of Galion</v>
      </c>
      <c r="D213" s="31"/>
      <c r="E213" s="2" t="str">
        <f xml:space="preserve"> _xll.EPMOlapMemberO("[ACCOUNT].[H1].[T_NON_OP_EXP]","","T_NON_OP_EXP - Tenant Non-Operating Expense","","000")</f>
        <v>T_NON_OP_EXP - Tenant Non-Operating Expense</v>
      </c>
      <c r="F213" s="233">
        <v>6046</v>
      </c>
      <c r="G213" s="233">
        <v>6662</v>
      </c>
      <c r="H213" s="233">
        <v>6277</v>
      </c>
      <c r="I213" s="233">
        <v>4057</v>
      </c>
      <c r="J213">
        <v>7918</v>
      </c>
      <c r="K213">
        <v>4418</v>
      </c>
      <c r="L213">
        <v>4732</v>
      </c>
      <c r="M213">
        <v>6589</v>
      </c>
      <c r="N213">
        <v>4677</v>
      </c>
      <c r="O213">
        <v>6196</v>
      </c>
      <c r="P213">
        <v>6607</v>
      </c>
      <c r="Q213">
        <v>6684</v>
      </c>
    </row>
    <row r="214" spans="1:17" x14ac:dyDescent="0.25">
      <c r="A214" s="29" t="str">
        <f>_xll.EVPRO("Finance",$C214,"Inv_Type")</f>
        <v>Inv_Equity</v>
      </c>
      <c r="B214" s="29" t="str">
        <f t="shared" si="6"/>
        <v>SHC of Galion</v>
      </c>
      <c r="C214" s="29" t="str">
        <f t="shared" si="7"/>
        <v>S09197 - SHC of Galion</v>
      </c>
      <c r="D214" s="31"/>
      <c r="E214" s="16" t="str">
        <f xml:space="preserve"> _xll.EPMOlapMemberO("[ACCOUNT].[H1].[T_BAD_DEBT]","","T_BAD_DEBT - Tenant Bad Debt Expense","","000")</f>
        <v>T_BAD_DEBT - Tenant Bad Debt Expense</v>
      </c>
      <c r="F214" s="233">
        <v>92868</v>
      </c>
      <c r="G214" s="233">
        <v>50939</v>
      </c>
      <c r="H214" s="233">
        <v>20000</v>
      </c>
      <c r="I214" s="233">
        <v>31018</v>
      </c>
      <c r="J214">
        <v>14150</v>
      </c>
      <c r="K214">
        <v>20000</v>
      </c>
      <c r="M214">
        <v>5000</v>
      </c>
    </row>
    <row r="215" spans="1:17" x14ac:dyDescent="0.25">
      <c r="A215" s="29" t="str">
        <f>_xll.EVPRO("Finance",$C215,"Inv_Type")</f>
        <v>Inv_Equity</v>
      </c>
      <c r="B215" s="29" t="str">
        <f t="shared" si="6"/>
        <v>SHC of Galion</v>
      </c>
      <c r="C215" s="29" t="str">
        <f t="shared" si="7"/>
        <v>S09197 - SHC of Galion</v>
      </c>
      <c r="D215" s="31"/>
      <c r="E215" s="3" t="str">
        <f xml:space="preserve"> _xll.EPMOlapMemberO("[ACCOUNT].[H1].[T_EBITDARM]","","T_EBITDARM - EBITDARM","","000")</f>
        <v>T_EBITDARM - EBITDARM</v>
      </c>
      <c r="F215" s="233">
        <v>-8108</v>
      </c>
      <c r="G215" s="233">
        <v>195088</v>
      </c>
      <c r="H215" s="233">
        <v>130078</v>
      </c>
      <c r="I215" s="233">
        <v>-116336</v>
      </c>
      <c r="J215">
        <v>44315</v>
      </c>
      <c r="K215">
        <v>64214</v>
      </c>
      <c r="L215">
        <v>7893</v>
      </c>
      <c r="M215">
        <v>-6191</v>
      </c>
      <c r="N215">
        <v>65820</v>
      </c>
      <c r="O215">
        <v>-5770</v>
      </c>
      <c r="P215">
        <v>58410</v>
      </c>
      <c r="Q215">
        <v>92223</v>
      </c>
    </row>
    <row r="216" spans="1:17" x14ac:dyDescent="0.25">
      <c r="A216" s="29" t="str">
        <f>_xll.EVPRO("Finance",$C216,"Inv_Type")</f>
        <v>Inv_Equity</v>
      </c>
      <c r="B216" s="29" t="str">
        <f t="shared" si="6"/>
        <v>SHC of Galion</v>
      </c>
      <c r="C216" s="29" t="str">
        <f t="shared" si="7"/>
        <v>S09197 - SHC of Galion</v>
      </c>
      <c r="D216" s="31"/>
      <c r="E216" s="3" t="str">
        <f xml:space="preserve"> _xll.EPMOlapMemberO("[ACCOUNT].[H1].[T_MGMT_FEE]","","T_MGMT_FEE - Tenant Management Fee - Actual","","000")</f>
        <v>T_MGMT_FEE - Tenant Management Fee - Actual</v>
      </c>
      <c r="F216" s="233">
        <v>22341</v>
      </c>
      <c r="G216" s="233">
        <v>29476</v>
      </c>
      <c r="H216" s="233">
        <v>19284</v>
      </c>
      <c r="I216" s="233">
        <v>18188</v>
      </c>
      <c r="J216">
        <v>22716</v>
      </c>
      <c r="K216">
        <v>19775</v>
      </c>
      <c r="L216">
        <v>21660</v>
      </c>
      <c r="M216">
        <v>20274</v>
      </c>
      <c r="N216">
        <v>20752</v>
      </c>
      <c r="O216">
        <v>20004</v>
      </c>
      <c r="P216">
        <v>22442</v>
      </c>
      <c r="Q216">
        <v>24783</v>
      </c>
    </row>
    <row r="217" spans="1:17" x14ac:dyDescent="0.25">
      <c r="A217" s="29" t="str">
        <f>_xll.EVPRO("Finance",$C217,"Inv_Type")</f>
        <v>Inv_Equity</v>
      </c>
      <c r="B217" s="29" t="str">
        <f t="shared" si="6"/>
        <v>SHC of Galion</v>
      </c>
      <c r="C217" s="29" t="str">
        <f t="shared" si="7"/>
        <v>S09197 - SHC of Galion</v>
      </c>
      <c r="D217" s="31"/>
      <c r="E217" s="2" t="str">
        <f xml:space="preserve"> _xll.EPMOlapMemberO("[ACCOUNT].[H1].[T_EBITDAR]","","T_EBITDAR - EBITDAR","","000")</f>
        <v>T_EBITDAR - EBITDAR</v>
      </c>
      <c r="F217" s="233">
        <v>-30449</v>
      </c>
      <c r="G217" s="233">
        <v>165612</v>
      </c>
      <c r="H217" s="233">
        <v>110794</v>
      </c>
      <c r="I217" s="233">
        <v>-134524</v>
      </c>
      <c r="J217">
        <v>21599</v>
      </c>
      <c r="K217">
        <v>44439</v>
      </c>
      <c r="L217">
        <v>-13767</v>
      </c>
      <c r="M217">
        <v>-26465</v>
      </c>
      <c r="N217">
        <v>45068</v>
      </c>
      <c r="O217">
        <v>-25774</v>
      </c>
      <c r="P217">
        <v>35968</v>
      </c>
      <c r="Q217">
        <v>67440</v>
      </c>
    </row>
    <row r="218" spans="1:17" x14ac:dyDescent="0.25">
      <c r="A218" s="29" t="str">
        <f>_xll.EVPRO("Finance",$C218,"Inv_Type")</f>
        <v>Inv_Equity</v>
      </c>
      <c r="B218" s="29" t="str">
        <f t="shared" si="6"/>
        <v>SHC of Galion</v>
      </c>
      <c r="C218" s="29" t="str">
        <f t="shared" si="7"/>
        <v>S09197 - SHC of Galion</v>
      </c>
      <c r="D218" s="31"/>
      <c r="E218" s="2" t="str">
        <f xml:space="preserve"> _xll.EPMOlapMemberO("[ACCOUNT].[H1].[T_RENT_EXP]","","T_RENT_EXP - Tenant Rent Expense","","000")</f>
        <v>T_RENT_EXP - Tenant Rent Expense</v>
      </c>
      <c r="F218" s="233">
        <v>44414</v>
      </c>
      <c r="G218" s="233">
        <v>44414</v>
      </c>
      <c r="H218" s="233">
        <v>44414</v>
      </c>
      <c r="I218" s="233">
        <v>45524</v>
      </c>
      <c r="J218">
        <v>45524</v>
      </c>
      <c r="K218">
        <v>45524</v>
      </c>
      <c r="L218">
        <v>45524</v>
      </c>
      <c r="M218">
        <v>45524</v>
      </c>
      <c r="N218">
        <v>45524</v>
      </c>
      <c r="O218">
        <v>45524</v>
      </c>
      <c r="P218">
        <v>45524</v>
      </c>
      <c r="Q218">
        <v>45524</v>
      </c>
    </row>
    <row r="219" spans="1:17" x14ac:dyDescent="0.25">
      <c r="A219" s="29" t="str">
        <f>_xll.EVPRO("Finance",$C219,"Inv_Type")</f>
        <v>Inv_Equity</v>
      </c>
      <c r="B219" s="29" t="str">
        <f t="shared" si="6"/>
        <v>SHC of Roanoke Rapids</v>
      </c>
      <c r="C219" s="29" t="str">
        <f t="shared" si="7"/>
        <v>S09198 - SHC of Roanoke Rapids</v>
      </c>
      <c r="D219" s="31" t="str">
        <f xml:space="preserve"> _xll.EPMOlapMemberO("[ENTITY].[H1].[S09198]","","S09198 - SHC of Roanoke Rapids","","000")</f>
        <v>S09198 - SHC of Roanoke Rapids</v>
      </c>
      <c r="E219" s="31" t="str">
        <f xml:space="preserve"> _xll.EPMOlapMemberO("[ACCOUNT].[H1].[PAY_PAT_DAYS]","","PAY_PAT_DAYS - Total Payor Patient Days","","000")</f>
        <v>PAY_PAT_DAYS - Total Payor Patient Days</v>
      </c>
      <c r="F219" s="233">
        <v>2398</v>
      </c>
      <c r="G219" s="233">
        <v>2647</v>
      </c>
      <c r="H219" s="233">
        <v>2669</v>
      </c>
      <c r="I219" s="233">
        <v>2608</v>
      </c>
      <c r="J219">
        <v>2590</v>
      </c>
      <c r="K219">
        <v>2202</v>
      </c>
      <c r="L219">
        <v>2396</v>
      </c>
      <c r="M219">
        <v>2235</v>
      </c>
      <c r="N219">
        <v>2461</v>
      </c>
      <c r="O219">
        <v>2232</v>
      </c>
      <c r="P219">
        <v>2318</v>
      </c>
      <c r="Q219">
        <v>2097</v>
      </c>
    </row>
    <row r="220" spans="1:17" x14ac:dyDescent="0.25">
      <c r="A220" s="29" t="str">
        <f>_xll.EVPRO("Finance",$C220,"Inv_Type")</f>
        <v>Inv_Equity</v>
      </c>
      <c r="B220" s="29" t="str">
        <f t="shared" si="6"/>
        <v>SHC of Roanoke Rapids</v>
      </c>
      <c r="C220" s="29" t="str">
        <f t="shared" si="7"/>
        <v>S09198 - SHC of Roanoke Rapids</v>
      </c>
      <c r="D220" s="31"/>
      <c r="E220" s="2" t="str">
        <f xml:space="preserve"> _xll.EPMOlapMemberO("[ACCOUNT].[H1].[A_BEDS_TOTAL]","","A_BEDS_TOTAL - Total Available Beds","","000")</f>
        <v>A_BEDS_TOTAL - Total Available Beds</v>
      </c>
      <c r="F220" s="233">
        <v>108</v>
      </c>
      <c r="G220" s="233">
        <v>108</v>
      </c>
      <c r="H220" s="233">
        <v>108</v>
      </c>
      <c r="I220" s="233">
        <v>108</v>
      </c>
      <c r="J220">
        <v>108</v>
      </c>
      <c r="K220">
        <v>108</v>
      </c>
      <c r="L220">
        <v>108</v>
      </c>
      <c r="M220">
        <v>108</v>
      </c>
      <c r="N220">
        <v>108</v>
      </c>
      <c r="O220">
        <v>108</v>
      </c>
      <c r="P220">
        <v>108</v>
      </c>
      <c r="Q220">
        <v>108</v>
      </c>
    </row>
    <row r="221" spans="1:17" x14ac:dyDescent="0.25">
      <c r="A221" s="29" t="str">
        <f>_xll.EVPRO("Finance",$C221,"Inv_Type")</f>
        <v>Inv_Equity</v>
      </c>
      <c r="B221" s="29" t="str">
        <f t="shared" si="6"/>
        <v>SHC of Roanoke Rapids</v>
      </c>
      <c r="C221" s="29" t="str">
        <f t="shared" si="7"/>
        <v>S09198 - SHC of Roanoke Rapids</v>
      </c>
      <c r="D221" s="31"/>
      <c r="E221" s="15" t="str">
        <f xml:space="preserve"> _xll.EPMOlapMemberO("[ACCOUNT].[H1].[T_REVENUES]","","T_REVENUES - Total Tenant Revenues","","000")</f>
        <v>T_REVENUES - Total Tenant Revenues</v>
      </c>
      <c r="F221" s="233">
        <v>1265069</v>
      </c>
      <c r="G221" s="233">
        <v>1017224</v>
      </c>
      <c r="H221" s="233">
        <v>976137</v>
      </c>
      <c r="I221" s="233">
        <v>805106</v>
      </c>
      <c r="J221">
        <v>972414</v>
      </c>
      <c r="K221">
        <v>813373</v>
      </c>
      <c r="L221">
        <v>822564</v>
      </c>
      <c r="M221">
        <v>661422</v>
      </c>
      <c r="N221">
        <v>867600</v>
      </c>
      <c r="O221">
        <v>926514</v>
      </c>
      <c r="P221">
        <v>737545</v>
      </c>
      <c r="Q221">
        <v>772302</v>
      </c>
    </row>
    <row r="222" spans="1:17" x14ac:dyDescent="0.25">
      <c r="A222" s="29" t="str">
        <f>_xll.EVPRO("Finance",$C222,"Inv_Type")</f>
        <v>Inv_Equity</v>
      </c>
      <c r="B222" s="29" t="str">
        <f t="shared" si="6"/>
        <v>SHC of Roanoke Rapids</v>
      </c>
      <c r="C222" s="29" t="str">
        <f t="shared" si="7"/>
        <v>S09198 - SHC of Roanoke Rapids</v>
      </c>
      <c r="D222" s="31"/>
      <c r="E222" s="15" t="str">
        <f xml:space="preserve"> _xll.EPMOlapMemberO("[ACCOUNT].[H1].[T_OPEX]","","T_OPEX - Tenant Operating Expenses","","000")</f>
        <v>T_OPEX - Tenant Operating Expenses</v>
      </c>
      <c r="F222" s="233">
        <v>761997</v>
      </c>
      <c r="G222" s="233">
        <v>754211</v>
      </c>
      <c r="H222" s="233">
        <v>710589</v>
      </c>
      <c r="I222" s="233">
        <v>979059</v>
      </c>
      <c r="J222">
        <v>708860</v>
      </c>
      <c r="K222">
        <v>635526</v>
      </c>
      <c r="L222">
        <v>837993</v>
      </c>
      <c r="M222">
        <v>657111</v>
      </c>
      <c r="N222">
        <v>681990</v>
      </c>
      <c r="O222">
        <v>609666</v>
      </c>
      <c r="P222">
        <v>770914</v>
      </c>
      <c r="Q222">
        <v>670449</v>
      </c>
    </row>
    <row r="223" spans="1:17" x14ac:dyDescent="0.25">
      <c r="A223" s="29" t="str">
        <f>_xll.EVPRO("Finance",$C223,"Inv_Type")</f>
        <v>Inv_Equity</v>
      </c>
      <c r="B223" s="29" t="str">
        <f t="shared" si="6"/>
        <v>SHC of Roanoke Rapids</v>
      </c>
      <c r="C223" s="29" t="str">
        <f t="shared" si="7"/>
        <v>S09198 - SHC of Roanoke Rapids</v>
      </c>
      <c r="D223" s="31"/>
      <c r="E223" s="2" t="str">
        <f xml:space="preserve"> _xll.EPMOlapMemberO("[ACCOUNT].[H1].[T_NON_OP_EXP]","","T_NON_OP_EXP - Tenant Non-Operating Expense","","000")</f>
        <v>T_NON_OP_EXP - Tenant Non-Operating Expense</v>
      </c>
      <c r="F223" s="233">
        <v>24509</v>
      </c>
      <c r="G223" s="233">
        <v>25935</v>
      </c>
      <c r="H223" s="233">
        <v>25681</v>
      </c>
      <c r="I223" s="233">
        <v>21452</v>
      </c>
      <c r="J223">
        <v>21594</v>
      </c>
      <c r="K223">
        <v>21890</v>
      </c>
      <c r="L223">
        <v>20811</v>
      </c>
      <c r="M223">
        <v>22065</v>
      </c>
      <c r="N223">
        <v>22013</v>
      </c>
      <c r="O223">
        <v>22263</v>
      </c>
      <c r="P223">
        <v>22684</v>
      </c>
      <c r="Q223">
        <v>21583</v>
      </c>
    </row>
    <row r="224" spans="1:17" x14ac:dyDescent="0.25">
      <c r="A224" s="29" t="str">
        <f>_xll.EVPRO("Finance",$C224,"Inv_Type")</f>
        <v>Inv_Equity</v>
      </c>
      <c r="B224" s="29" t="str">
        <f t="shared" si="6"/>
        <v>SHC of Roanoke Rapids</v>
      </c>
      <c r="C224" s="29" t="str">
        <f t="shared" si="7"/>
        <v>S09198 - SHC of Roanoke Rapids</v>
      </c>
      <c r="D224" s="31"/>
      <c r="E224" s="16" t="str">
        <f xml:space="preserve"> _xll.EPMOlapMemberO("[ACCOUNT].[H1].[T_BAD_DEBT]","","T_BAD_DEBT - Tenant Bad Debt Expense","","000")</f>
        <v>T_BAD_DEBT - Tenant Bad Debt Expense</v>
      </c>
      <c r="F224" s="233">
        <v>84248</v>
      </c>
      <c r="G224" s="233">
        <v>66293</v>
      </c>
      <c r="H224" s="233">
        <v>50000</v>
      </c>
      <c r="I224" s="233">
        <v>85135</v>
      </c>
      <c r="J224">
        <v>18708</v>
      </c>
      <c r="K224">
        <v>22000</v>
      </c>
      <c r="M224">
        <v>55534</v>
      </c>
      <c r="N224">
        <v>15000</v>
      </c>
      <c r="O224">
        <v>20000</v>
      </c>
      <c r="P224">
        <v>20000</v>
      </c>
      <c r="Q224">
        <v>20000</v>
      </c>
    </row>
    <row r="225" spans="1:17" x14ac:dyDescent="0.25">
      <c r="A225" s="29" t="str">
        <f>_xll.EVPRO("Finance",$C225,"Inv_Type")</f>
        <v>Inv_Equity</v>
      </c>
      <c r="B225" s="29" t="str">
        <f t="shared" si="6"/>
        <v>SHC of Roanoke Rapids</v>
      </c>
      <c r="C225" s="29" t="str">
        <f t="shared" si="7"/>
        <v>S09198 - SHC of Roanoke Rapids</v>
      </c>
      <c r="D225" s="31"/>
      <c r="E225" s="3" t="str">
        <f xml:space="preserve"> _xll.EPMOlapMemberO("[ACCOUNT].[H1].[T_EBITDARM]","","T_EBITDARM - EBITDARM","","000")</f>
        <v>T_EBITDARM - EBITDARM</v>
      </c>
      <c r="F225" s="233">
        <v>503072</v>
      </c>
      <c r="G225" s="233">
        <v>263013</v>
      </c>
      <c r="H225" s="233">
        <v>265548</v>
      </c>
      <c r="I225" s="233">
        <v>-173953</v>
      </c>
      <c r="J225">
        <v>263554</v>
      </c>
      <c r="K225">
        <v>177847</v>
      </c>
      <c r="L225">
        <v>-15429</v>
      </c>
      <c r="M225">
        <v>4311</v>
      </c>
      <c r="N225">
        <v>185610</v>
      </c>
      <c r="O225">
        <v>316848</v>
      </c>
      <c r="P225">
        <v>-33369</v>
      </c>
      <c r="Q225">
        <v>101853</v>
      </c>
    </row>
    <row r="226" spans="1:17" x14ac:dyDescent="0.25">
      <c r="A226" s="29" t="str">
        <f>_xll.EVPRO("Finance",$C226,"Inv_Type")</f>
        <v>Inv_Equity</v>
      </c>
      <c r="B226" s="29" t="str">
        <f t="shared" si="6"/>
        <v>SHC of Roanoke Rapids</v>
      </c>
      <c r="C226" s="29" t="str">
        <f t="shared" si="7"/>
        <v>S09198 - SHC of Roanoke Rapids</v>
      </c>
      <c r="D226" s="31"/>
      <c r="E226" s="3" t="str">
        <f xml:space="preserve"> _xll.EPMOlapMemberO("[ACCOUNT].[H1].[T_MGMT_FEE]","","T_MGMT_FEE - Tenant Management Fee - Actual","","000")</f>
        <v>T_MGMT_FEE - Tenant Management Fee - Actual</v>
      </c>
      <c r="F226" s="233">
        <v>63727</v>
      </c>
      <c r="G226" s="233">
        <v>51370</v>
      </c>
      <c r="H226" s="233">
        <v>49295</v>
      </c>
      <c r="I226" s="233">
        <v>40658</v>
      </c>
      <c r="J226">
        <v>49107</v>
      </c>
      <c r="K226">
        <v>41075</v>
      </c>
      <c r="L226">
        <v>41540</v>
      </c>
      <c r="M226">
        <v>33402</v>
      </c>
      <c r="N226">
        <v>43814</v>
      </c>
      <c r="O226">
        <v>46789</v>
      </c>
      <c r="P226">
        <v>37246</v>
      </c>
      <c r="Q226">
        <v>39001</v>
      </c>
    </row>
    <row r="227" spans="1:17" x14ac:dyDescent="0.25">
      <c r="A227" s="29" t="str">
        <f>_xll.EVPRO("Finance",$C227,"Inv_Type")</f>
        <v>Inv_Equity</v>
      </c>
      <c r="B227" s="29" t="str">
        <f t="shared" si="6"/>
        <v>SHC of Roanoke Rapids</v>
      </c>
      <c r="C227" s="29" t="str">
        <f t="shared" si="7"/>
        <v>S09198 - SHC of Roanoke Rapids</v>
      </c>
      <c r="D227" s="31"/>
      <c r="E227" s="2" t="str">
        <f xml:space="preserve"> _xll.EPMOlapMemberO("[ACCOUNT].[H1].[T_EBITDAR]","","T_EBITDAR - EBITDAR","","000")</f>
        <v>T_EBITDAR - EBITDAR</v>
      </c>
      <c r="F227" s="233">
        <v>439345</v>
      </c>
      <c r="G227" s="233">
        <v>211643</v>
      </c>
      <c r="H227" s="233">
        <v>216253</v>
      </c>
      <c r="I227" s="233">
        <v>-214611</v>
      </c>
      <c r="J227">
        <v>214447</v>
      </c>
      <c r="K227">
        <v>136772</v>
      </c>
      <c r="L227">
        <v>-56969</v>
      </c>
      <c r="M227">
        <v>-29091</v>
      </c>
      <c r="N227">
        <v>141796</v>
      </c>
      <c r="O227">
        <v>270059</v>
      </c>
      <c r="P227">
        <v>-70615</v>
      </c>
      <c r="Q227">
        <v>62852</v>
      </c>
    </row>
    <row r="228" spans="1:17" x14ac:dyDescent="0.25">
      <c r="A228" s="29" t="str">
        <f>_xll.EVPRO("Finance",$C228,"Inv_Type")</f>
        <v>Inv_Equity</v>
      </c>
      <c r="B228" s="29" t="str">
        <f t="shared" si="6"/>
        <v>SHC of Roanoke Rapids</v>
      </c>
      <c r="C228" s="29" t="str">
        <f t="shared" si="7"/>
        <v>S09198 - SHC of Roanoke Rapids</v>
      </c>
      <c r="D228" s="31"/>
      <c r="E228" s="2" t="str">
        <f xml:space="preserve"> _xll.EPMOlapMemberO("[ACCOUNT].[H1].[T_RENT_EXP]","","T_RENT_EXP - Tenant Rent Expense","","000")</f>
        <v>T_RENT_EXP - Tenant Rent Expense</v>
      </c>
      <c r="F228" s="233">
        <v>129325</v>
      </c>
      <c r="G228" s="233">
        <v>129325</v>
      </c>
      <c r="H228" s="233">
        <v>129325</v>
      </c>
      <c r="I228" s="233">
        <v>132558</v>
      </c>
      <c r="J228">
        <v>132558</v>
      </c>
      <c r="K228">
        <v>132558</v>
      </c>
      <c r="L228">
        <v>132558</v>
      </c>
      <c r="M228">
        <v>132558</v>
      </c>
      <c r="N228">
        <v>132558</v>
      </c>
      <c r="O228">
        <v>132558</v>
      </c>
      <c r="P228">
        <v>132558</v>
      </c>
      <c r="Q228">
        <v>132558</v>
      </c>
    </row>
    <row r="229" spans="1:17" x14ac:dyDescent="0.25">
      <c r="A229" s="29" t="str">
        <f>_xll.EVPRO("Finance",$C229,"Inv_Type")</f>
        <v>Inv_Equity</v>
      </c>
      <c r="B229" s="29" t="str">
        <f t="shared" si="6"/>
        <v>SHC of Kinston</v>
      </c>
      <c r="C229" s="29" t="str">
        <f t="shared" si="7"/>
        <v>S09199 - SHC of Kinston</v>
      </c>
      <c r="D229" s="31" t="str">
        <f xml:space="preserve"> _xll.EPMOlapMemberO("[ENTITY].[H1].[S09199]","","S09199 - SHC of Kinston","","000")</f>
        <v>S09199 - SHC of Kinston</v>
      </c>
      <c r="E229" s="195" t="str">
        <f xml:space="preserve"> _xll.EPMOlapMemberO("[ACCOUNT].[H1].[PAY_PAT_DAYS]","","PAY_PAT_DAYS - Total Payor Patient Days","","000")</f>
        <v>PAY_PAT_DAYS - Total Payor Patient Days</v>
      </c>
      <c r="F229" s="233">
        <v>2759</v>
      </c>
      <c r="G229" s="233">
        <v>2869</v>
      </c>
      <c r="H229" s="233">
        <v>2775</v>
      </c>
      <c r="I229" s="233">
        <v>2736</v>
      </c>
      <c r="J229">
        <v>2697</v>
      </c>
      <c r="K229">
        <v>2433</v>
      </c>
      <c r="L229">
        <v>2650</v>
      </c>
      <c r="M229">
        <v>2512</v>
      </c>
      <c r="N229">
        <v>2577</v>
      </c>
      <c r="O229">
        <v>2528</v>
      </c>
      <c r="P229">
        <v>2678</v>
      </c>
      <c r="Q229">
        <v>2610</v>
      </c>
    </row>
    <row r="230" spans="1:17" x14ac:dyDescent="0.25">
      <c r="A230" s="29" t="str">
        <f>_xll.EVPRO("Finance",$C230,"Inv_Type")</f>
        <v>Inv_Equity</v>
      </c>
      <c r="B230" s="29" t="str">
        <f t="shared" si="6"/>
        <v>SHC of Kinston</v>
      </c>
      <c r="C230" s="29" t="str">
        <f t="shared" si="7"/>
        <v>S09199 - SHC of Kinston</v>
      </c>
      <c r="D230" s="31"/>
      <c r="E230" s="2" t="str">
        <f xml:space="preserve"> _xll.EPMOlapMemberO("[ACCOUNT].[H1].[A_BEDS_TOTAL]","","A_BEDS_TOTAL - Total Available Beds","","000")</f>
        <v>A_BEDS_TOTAL - Total Available Beds</v>
      </c>
      <c r="F230" s="233">
        <v>106</v>
      </c>
      <c r="G230" s="233">
        <v>106</v>
      </c>
      <c r="H230" s="233">
        <v>106</v>
      </c>
      <c r="I230" s="233">
        <v>106</v>
      </c>
      <c r="J230">
        <v>106</v>
      </c>
      <c r="K230">
        <v>106</v>
      </c>
      <c r="L230">
        <v>106</v>
      </c>
      <c r="M230">
        <v>106</v>
      </c>
      <c r="N230">
        <v>106</v>
      </c>
      <c r="O230">
        <v>106</v>
      </c>
      <c r="P230">
        <v>106</v>
      </c>
      <c r="Q230">
        <v>106</v>
      </c>
    </row>
    <row r="231" spans="1:17" x14ac:dyDescent="0.25">
      <c r="A231" s="29" t="str">
        <f>_xll.EVPRO("Finance",$C231,"Inv_Type")</f>
        <v>Inv_Equity</v>
      </c>
      <c r="B231" s="29" t="str">
        <f t="shared" si="6"/>
        <v>SHC of Kinston</v>
      </c>
      <c r="C231" s="29" t="str">
        <f t="shared" si="7"/>
        <v>S09199 - SHC of Kinston</v>
      </c>
      <c r="D231" s="31"/>
      <c r="E231" s="15" t="str">
        <f xml:space="preserve"> _xll.EPMOlapMemberO("[ACCOUNT].[H1].[T_REVENUES]","","T_REVENUES - Total Tenant Revenues","","000")</f>
        <v>T_REVENUES - Total Tenant Revenues</v>
      </c>
      <c r="F231" s="233">
        <v>959806</v>
      </c>
      <c r="G231" s="233">
        <v>1057382</v>
      </c>
      <c r="H231" s="233">
        <v>991759</v>
      </c>
      <c r="I231" s="233">
        <v>906135</v>
      </c>
      <c r="J231">
        <v>943120</v>
      </c>
      <c r="K231">
        <v>868757</v>
      </c>
      <c r="L231">
        <v>926595</v>
      </c>
      <c r="M231">
        <v>700900</v>
      </c>
      <c r="N231">
        <v>890537</v>
      </c>
      <c r="O231">
        <v>707827</v>
      </c>
      <c r="P231">
        <v>759910</v>
      </c>
      <c r="Q231">
        <v>739615</v>
      </c>
    </row>
    <row r="232" spans="1:17" x14ac:dyDescent="0.25">
      <c r="A232" s="29" t="str">
        <f>_xll.EVPRO("Finance",$C232,"Inv_Type")</f>
        <v>Inv_Equity</v>
      </c>
      <c r="B232" s="29" t="str">
        <f t="shared" si="6"/>
        <v>SHC of Kinston</v>
      </c>
      <c r="C232" s="29" t="str">
        <f t="shared" si="7"/>
        <v>S09199 - SHC of Kinston</v>
      </c>
      <c r="D232" s="31"/>
      <c r="E232" s="15" t="str">
        <f xml:space="preserve"> _xll.EPMOlapMemberO("[ACCOUNT].[H1].[T_OPEX]","","T_OPEX - Tenant Operating Expenses","","000")</f>
        <v>T_OPEX - Tenant Operating Expenses</v>
      </c>
      <c r="F232" s="233">
        <v>552439</v>
      </c>
      <c r="G232" s="233">
        <v>628391</v>
      </c>
      <c r="H232" s="233">
        <v>584095</v>
      </c>
      <c r="I232" s="233">
        <v>697655</v>
      </c>
      <c r="J232">
        <v>567914</v>
      </c>
      <c r="K232">
        <v>594163</v>
      </c>
      <c r="L232">
        <v>583742</v>
      </c>
      <c r="M232">
        <v>621788</v>
      </c>
      <c r="N232">
        <v>583760</v>
      </c>
      <c r="O232">
        <v>568655</v>
      </c>
      <c r="P232">
        <v>606592</v>
      </c>
      <c r="Q232">
        <v>625543</v>
      </c>
    </row>
    <row r="233" spans="1:17" x14ac:dyDescent="0.25">
      <c r="A233" s="29" t="str">
        <f>_xll.EVPRO("Finance",$C233,"Inv_Type")</f>
        <v>Inv_Equity</v>
      </c>
      <c r="B233" s="29" t="str">
        <f t="shared" si="6"/>
        <v>SHC of Kinston</v>
      </c>
      <c r="C233" s="29" t="str">
        <f t="shared" si="7"/>
        <v>S09199 - SHC of Kinston</v>
      </c>
      <c r="D233" s="31"/>
      <c r="E233" s="2" t="str">
        <f xml:space="preserve"> _xll.EPMOlapMemberO("[ACCOUNT].[H1].[T_NON_OP_EXP]","","T_NON_OP_EXP - Tenant Non-Operating Expense","","000")</f>
        <v>T_NON_OP_EXP - Tenant Non-Operating Expense</v>
      </c>
      <c r="F233" s="233">
        <v>18493</v>
      </c>
      <c r="G233" s="233">
        <v>19588</v>
      </c>
      <c r="H233" s="233">
        <v>21274</v>
      </c>
      <c r="I233" s="233">
        <v>17229</v>
      </c>
      <c r="J233">
        <v>16968</v>
      </c>
      <c r="K233">
        <v>16822</v>
      </c>
      <c r="L233">
        <v>16253</v>
      </c>
      <c r="M233">
        <v>17934</v>
      </c>
      <c r="N233">
        <v>17974</v>
      </c>
      <c r="O233">
        <v>18316</v>
      </c>
      <c r="P233">
        <v>19225</v>
      </c>
      <c r="Q233">
        <v>18066</v>
      </c>
    </row>
    <row r="234" spans="1:17" x14ac:dyDescent="0.25">
      <c r="A234" s="29" t="str">
        <f>_xll.EVPRO("Finance",$C234,"Inv_Type")</f>
        <v>Inv_Equity</v>
      </c>
      <c r="B234" s="29" t="str">
        <f t="shared" si="6"/>
        <v>SHC of Kinston</v>
      </c>
      <c r="C234" s="29" t="str">
        <f t="shared" si="7"/>
        <v>S09199 - SHC of Kinston</v>
      </c>
      <c r="D234" s="31"/>
      <c r="E234" s="16" t="str">
        <f xml:space="preserve"> _xll.EPMOlapMemberO("[ACCOUNT].[H1].[T_BAD_DEBT]","","T_BAD_DEBT - Tenant Bad Debt Expense","","000")</f>
        <v>T_BAD_DEBT - Tenant Bad Debt Expense</v>
      </c>
      <c r="F234" s="233">
        <v>9630</v>
      </c>
      <c r="G234" s="233">
        <v>19516</v>
      </c>
      <c r="H234" s="233">
        <v>12000</v>
      </c>
      <c r="I234" s="233">
        <v>19642</v>
      </c>
      <c r="J234">
        <v>12384</v>
      </c>
      <c r="K234">
        <v>13000</v>
      </c>
      <c r="M234">
        <v>57701</v>
      </c>
      <c r="N234">
        <v>5000</v>
      </c>
      <c r="O234">
        <v>10000</v>
      </c>
    </row>
    <row r="235" spans="1:17" x14ac:dyDescent="0.25">
      <c r="A235" s="29" t="str">
        <f>_xll.EVPRO("Finance",$C235,"Inv_Type")</f>
        <v>Inv_Equity</v>
      </c>
      <c r="B235" s="29" t="str">
        <f t="shared" si="6"/>
        <v>SHC of Kinston</v>
      </c>
      <c r="C235" s="29" t="str">
        <f t="shared" si="7"/>
        <v>S09199 - SHC of Kinston</v>
      </c>
      <c r="D235" s="31"/>
      <c r="E235" s="3" t="str">
        <f xml:space="preserve"> _xll.EPMOlapMemberO("[ACCOUNT].[H1].[T_EBITDARM]","","T_EBITDARM - EBITDARM","","000")</f>
        <v>T_EBITDARM - EBITDARM</v>
      </c>
      <c r="F235" s="233">
        <v>407367</v>
      </c>
      <c r="G235" s="233">
        <v>428991</v>
      </c>
      <c r="H235" s="233">
        <v>407664</v>
      </c>
      <c r="I235" s="233">
        <v>208480</v>
      </c>
      <c r="J235">
        <v>375206</v>
      </c>
      <c r="K235">
        <v>274594</v>
      </c>
      <c r="L235">
        <v>342853</v>
      </c>
      <c r="M235">
        <v>79112</v>
      </c>
      <c r="N235">
        <v>306777</v>
      </c>
      <c r="O235">
        <v>139172</v>
      </c>
      <c r="P235">
        <v>153318</v>
      </c>
      <c r="Q235">
        <v>114072</v>
      </c>
    </row>
    <row r="236" spans="1:17" x14ac:dyDescent="0.25">
      <c r="A236" s="29" t="str">
        <f>_xll.EVPRO("Finance",$C236,"Inv_Type")</f>
        <v>Inv_Equity</v>
      </c>
      <c r="B236" s="29" t="str">
        <f t="shared" si="6"/>
        <v>SHC of Kinston</v>
      </c>
      <c r="C236" s="29" t="str">
        <f t="shared" si="7"/>
        <v>S09199 - SHC of Kinston</v>
      </c>
      <c r="D236" s="31"/>
      <c r="E236" s="3" t="str">
        <f xml:space="preserve"> _xll.EPMOlapMemberO("[ACCOUNT].[H1].[T_MGMT_FEE]","","T_MGMT_FEE - Tenant Management Fee - Actual","","000")</f>
        <v>T_MGMT_FEE - Tenant Management Fee - Actual</v>
      </c>
      <c r="F236" s="233">
        <v>48470</v>
      </c>
      <c r="G236" s="233">
        <v>53398</v>
      </c>
      <c r="H236" s="233">
        <v>50084</v>
      </c>
      <c r="I236" s="233">
        <v>45760</v>
      </c>
      <c r="J236">
        <v>47628</v>
      </c>
      <c r="K236">
        <v>43872</v>
      </c>
      <c r="L236">
        <v>46793</v>
      </c>
      <c r="M236">
        <v>35395</v>
      </c>
      <c r="N236">
        <v>44972</v>
      </c>
      <c r="O236">
        <v>35745</v>
      </c>
      <c r="P236">
        <v>38375</v>
      </c>
      <c r="Q236">
        <v>37351</v>
      </c>
    </row>
    <row r="237" spans="1:17" x14ac:dyDescent="0.25">
      <c r="A237" s="29" t="str">
        <f>_xll.EVPRO("Finance",$C237,"Inv_Type")</f>
        <v>Inv_Equity</v>
      </c>
      <c r="B237" s="29" t="str">
        <f t="shared" si="6"/>
        <v>SHC of Kinston</v>
      </c>
      <c r="C237" s="29" t="str">
        <f t="shared" si="7"/>
        <v>S09199 - SHC of Kinston</v>
      </c>
      <c r="D237" s="31"/>
      <c r="E237" s="2" t="str">
        <f xml:space="preserve"> _xll.EPMOlapMemberO("[ACCOUNT].[H1].[T_EBITDAR]","","T_EBITDAR - EBITDAR","","000")</f>
        <v>T_EBITDAR - EBITDAR</v>
      </c>
      <c r="F237" s="233">
        <v>358897</v>
      </c>
      <c r="G237" s="233">
        <v>375593</v>
      </c>
      <c r="H237" s="233">
        <v>357580</v>
      </c>
      <c r="I237" s="233">
        <v>162720</v>
      </c>
      <c r="J237">
        <v>327578</v>
      </c>
      <c r="K237">
        <v>230722</v>
      </c>
      <c r="L237">
        <v>296060</v>
      </c>
      <c r="M237">
        <v>43717</v>
      </c>
      <c r="N237">
        <v>261805</v>
      </c>
      <c r="O237">
        <v>103427</v>
      </c>
      <c r="P237">
        <v>114943</v>
      </c>
      <c r="Q237">
        <v>76721</v>
      </c>
    </row>
    <row r="238" spans="1:17" x14ac:dyDescent="0.25">
      <c r="A238" s="29" t="str">
        <f>_xll.EVPRO("Finance",$C238,"Inv_Type")</f>
        <v>Inv_Equity</v>
      </c>
      <c r="B238" s="29" t="str">
        <f t="shared" si="6"/>
        <v>SHC of Kinston</v>
      </c>
      <c r="C238" s="29" t="str">
        <f t="shared" si="7"/>
        <v>S09199 - SHC of Kinston</v>
      </c>
      <c r="D238" s="31"/>
      <c r="E238" s="2" t="str">
        <f xml:space="preserve"> _xll.EPMOlapMemberO("[ACCOUNT].[H1].[T_RENT_EXP]","","T_RENT_EXP - Tenant Rent Expense","","000")</f>
        <v>T_RENT_EXP - Tenant Rent Expense</v>
      </c>
      <c r="F238" s="233">
        <v>91542</v>
      </c>
      <c r="G238" s="233">
        <v>91542</v>
      </c>
      <c r="H238" s="233">
        <v>91542</v>
      </c>
      <c r="I238" s="233">
        <v>93831</v>
      </c>
      <c r="J238">
        <v>93831</v>
      </c>
      <c r="K238">
        <v>93831</v>
      </c>
      <c r="L238">
        <v>93831</v>
      </c>
      <c r="M238">
        <v>93831</v>
      </c>
      <c r="N238">
        <v>93831</v>
      </c>
      <c r="O238">
        <v>93831</v>
      </c>
      <c r="P238">
        <v>93831</v>
      </c>
      <c r="Q238">
        <v>93831</v>
      </c>
    </row>
    <row r="239" spans="1:17" x14ac:dyDescent="0.25">
      <c r="A239" s="29" t="str">
        <f>_xll.EVPRO("Finance",$C239,"Inv_Type")</f>
        <v>Inv_Equity</v>
      </c>
      <c r="B239" s="29" t="str">
        <f t="shared" si="6"/>
        <v>SHC of Chapel Hill</v>
      </c>
      <c r="C239" s="29" t="str">
        <f t="shared" si="7"/>
        <v>S09201 - SHC of Chapel Hill</v>
      </c>
      <c r="D239" s="31" t="str">
        <f xml:space="preserve"> _xll.EPMOlapMemberO("[ENTITY].[H1].[S09201]","","S09201 - SHC of Chapel Hill","","000")</f>
        <v>S09201 - SHC of Chapel Hill</v>
      </c>
      <c r="E239" s="31" t="str">
        <f xml:space="preserve"> _xll.EPMOlapMemberO("[ACCOUNT].[H1].[PAY_PAT_DAYS]","","PAY_PAT_DAYS - Total Payor Patient Days","","000")</f>
        <v>PAY_PAT_DAYS - Total Payor Patient Days</v>
      </c>
      <c r="F239" s="233">
        <v>2059</v>
      </c>
      <c r="G239" s="233">
        <v>2391</v>
      </c>
      <c r="H239" s="233">
        <v>2360</v>
      </c>
      <c r="I239" s="233">
        <v>2402</v>
      </c>
      <c r="J239">
        <v>2374</v>
      </c>
      <c r="K239">
        <v>2098</v>
      </c>
      <c r="L239">
        <v>2175</v>
      </c>
      <c r="M239">
        <v>2347</v>
      </c>
      <c r="N239">
        <v>2521</v>
      </c>
      <c r="O239">
        <v>2468</v>
      </c>
      <c r="P239">
        <v>2663</v>
      </c>
      <c r="Q239">
        <v>2636</v>
      </c>
    </row>
    <row r="240" spans="1:17" x14ac:dyDescent="0.25">
      <c r="A240" s="29" t="str">
        <f>_xll.EVPRO("Finance",$C240,"Inv_Type")</f>
        <v>Inv_Equity</v>
      </c>
      <c r="B240" s="29" t="str">
        <f t="shared" si="6"/>
        <v>SHC of Chapel Hill</v>
      </c>
      <c r="C240" s="29" t="str">
        <f t="shared" si="7"/>
        <v>S09201 - SHC of Chapel Hill</v>
      </c>
      <c r="D240" s="31"/>
      <c r="E240" s="2" t="str">
        <f xml:space="preserve"> _xll.EPMOlapMemberO("[ACCOUNT].[H1].[A_BEDS_TOTAL]","","A_BEDS_TOTAL - Total Available Beds","","000")</f>
        <v>A_BEDS_TOTAL - Total Available Beds</v>
      </c>
      <c r="F240" s="233">
        <v>108</v>
      </c>
      <c r="G240" s="233">
        <v>108</v>
      </c>
      <c r="H240" s="233">
        <v>108</v>
      </c>
      <c r="I240" s="233">
        <v>108</v>
      </c>
      <c r="J240">
        <v>108</v>
      </c>
      <c r="K240">
        <v>108</v>
      </c>
      <c r="L240">
        <v>108</v>
      </c>
      <c r="M240">
        <v>108</v>
      </c>
      <c r="N240">
        <v>108</v>
      </c>
      <c r="O240">
        <v>108</v>
      </c>
      <c r="P240">
        <v>108</v>
      </c>
      <c r="Q240">
        <v>108</v>
      </c>
    </row>
    <row r="241" spans="1:17" x14ac:dyDescent="0.25">
      <c r="A241" s="29" t="str">
        <f>_xll.EVPRO("Finance",$C241,"Inv_Type")</f>
        <v>Inv_Equity</v>
      </c>
      <c r="B241" s="29" t="str">
        <f t="shared" si="6"/>
        <v>SHC of Chapel Hill</v>
      </c>
      <c r="C241" s="29" t="str">
        <f t="shared" si="7"/>
        <v>S09201 - SHC of Chapel Hill</v>
      </c>
      <c r="D241" s="31"/>
      <c r="E241" s="15" t="str">
        <f xml:space="preserve"> _xll.EPMOlapMemberO("[ACCOUNT].[H1].[T_REVENUES]","","T_REVENUES - Total Tenant Revenues","","000")</f>
        <v>T_REVENUES - Total Tenant Revenues</v>
      </c>
      <c r="F241" s="233">
        <v>714237</v>
      </c>
      <c r="G241" s="233">
        <v>894793</v>
      </c>
      <c r="H241" s="233">
        <v>864974</v>
      </c>
      <c r="I241" s="233">
        <v>588942</v>
      </c>
      <c r="J241">
        <v>904392</v>
      </c>
      <c r="K241">
        <v>769952</v>
      </c>
      <c r="L241">
        <v>756874</v>
      </c>
      <c r="M241">
        <v>699072</v>
      </c>
      <c r="N241">
        <v>986805</v>
      </c>
      <c r="O241">
        <v>882659</v>
      </c>
      <c r="P241">
        <v>933343</v>
      </c>
      <c r="Q241">
        <v>996016</v>
      </c>
    </row>
    <row r="242" spans="1:17" x14ac:dyDescent="0.25">
      <c r="A242" s="29" t="str">
        <f>_xll.EVPRO("Finance",$C242,"Inv_Type")</f>
        <v>Inv_Equity</v>
      </c>
      <c r="B242" s="29" t="str">
        <f t="shared" si="6"/>
        <v>SHC of Chapel Hill</v>
      </c>
      <c r="C242" s="29" t="str">
        <f t="shared" si="7"/>
        <v>S09201 - SHC of Chapel Hill</v>
      </c>
      <c r="D242" s="31"/>
      <c r="E242" s="15" t="str">
        <f xml:space="preserve"> _xll.EPMOlapMemberO("[ACCOUNT].[H1].[T_OPEX]","","T_OPEX - Tenant Operating Expenses","","000")</f>
        <v>T_OPEX - Tenant Operating Expenses</v>
      </c>
      <c r="F242" s="233">
        <v>625506</v>
      </c>
      <c r="G242" s="233">
        <v>733345</v>
      </c>
      <c r="H242" s="233">
        <v>625740</v>
      </c>
      <c r="I242" s="233">
        <v>921932</v>
      </c>
      <c r="J242">
        <v>648972</v>
      </c>
      <c r="K242">
        <v>637951</v>
      </c>
      <c r="L242">
        <v>575807</v>
      </c>
      <c r="M242">
        <v>644125</v>
      </c>
      <c r="N242">
        <v>673827</v>
      </c>
      <c r="O242">
        <v>691792</v>
      </c>
      <c r="P242">
        <v>817354</v>
      </c>
      <c r="Q242">
        <v>673656</v>
      </c>
    </row>
    <row r="243" spans="1:17" x14ac:dyDescent="0.25">
      <c r="A243" s="29" t="str">
        <f>_xll.EVPRO("Finance",$C243,"Inv_Type")</f>
        <v>Inv_Equity</v>
      </c>
      <c r="B243" s="29" t="str">
        <f t="shared" si="6"/>
        <v>SHC of Chapel Hill</v>
      </c>
      <c r="C243" s="29" t="str">
        <f t="shared" si="7"/>
        <v>S09201 - SHC of Chapel Hill</v>
      </c>
      <c r="D243" s="31"/>
      <c r="E243" s="2" t="str">
        <f xml:space="preserve"> _xll.EPMOlapMemberO("[ACCOUNT].[H1].[T_NON_OP_EXP]","","T_NON_OP_EXP - Tenant Non-Operating Expense","","000")</f>
        <v>T_NON_OP_EXP - Tenant Non-Operating Expense</v>
      </c>
      <c r="F243" s="233">
        <v>15307</v>
      </c>
      <c r="G243" s="233">
        <v>16389</v>
      </c>
      <c r="H243" s="233">
        <v>16137</v>
      </c>
      <c r="I243" s="233">
        <v>16271</v>
      </c>
      <c r="J243">
        <v>16393</v>
      </c>
      <c r="K243">
        <v>16689</v>
      </c>
      <c r="L243">
        <v>16046</v>
      </c>
      <c r="M243">
        <v>16887</v>
      </c>
      <c r="N243">
        <v>17336</v>
      </c>
      <c r="O243">
        <v>17676</v>
      </c>
      <c r="P243">
        <v>18470</v>
      </c>
      <c r="Q243">
        <v>18085</v>
      </c>
    </row>
    <row r="244" spans="1:17" x14ac:dyDescent="0.25">
      <c r="A244" s="29" t="str">
        <f>_xll.EVPRO("Finance",$C244,"Inv_Type")</f>
        <v>Inv_Equity</v>
      </c>
      <c r="B244" s="29" t="str">
        <f t="shared" si="6"/>
        <v>SHC of Chapel Hill</v>
      </c>
      <c r="C244" s="29" t="str">
        <f t="shared" si="7"/>
        <v>S09201 - SHC of Chapel Hill</v>
      </c>
      <c r="D244" s="31"/>
      <c r="E244" s="16" t="str">
        <f xml:space="preserve"> _xll.EPMOlapMemberO("[ACCOUNT].[H1].[T_BAD_DEBT]","","T_BAD_DEBT - Tenant Bad Debt Expense","","000")</f>
        <v>T_BAD_DEBT - Tenant Bad Debt Expense</v>
      </c>
      <c r="F244" s="233">
        <v>28404</v>
      </c>
      <c r="G244" s="233">
        <v>56346</v>
      </c>
      <c r="H244" s="233">
        <v>30000</v>
      </c>
      <c r="I244" s="233">
        <v>101326</v>
      </c>
      <c r="J244">
        <v>18175</v>
      </c>
      <c r="K244">
        <v>15000</v>
      </c>
      <c r="Q244">
        <v>5000</v>
      </c>
    </row>
    <row r="245" spans="1:17" x14ac:dyDescent="0.25">
      <c r="A245" s="29" t="str">
        <f>_xll.EVPRO("Finance",$C245,"Inv_Type")</f>
        <v>Inv_Equity</v>
      </c>
      <c r="B245" s="29" t="str">
        <f t="shared" si="6"/>
        <v>SHC of Chapel Hill</v>
      </c>
      <c r="C245" s="29" t="str">
        <f t="shared" si="7"/>
        <v>S09201 - SHC of Chapel Hill</v>
      </c>
      <c r="D245" s="31"/>
      <c r="E245" s="3" t="str">
        <f xml:space="preserve"> _xll.EPMOlapMemberO("[ACCOUNT].[H1].[T_EBITDARM]","","T_EBITDARM - EBITDARM","","000")</f>
        <v>T_EBITDARM - EBITDARM</v>
      </c>
      <c r="F245" s="233">
        <v>88731</v>
      </c>
      <c r="G245" s="233">
        <v>161448</v>
      </c>
      <c r="H245" s="233">
        <v>239234</v>
      </c>
      <c r="I245" s="233">
        <v>-332990</v>
      </c>
      <c r="J245">
        <v>255420</v>
      </c>
      <c r="K245">
        <v>132001</v>
      </c>
      <c r="L245">
        <v>181067</v>
      </c>
      <c r="M245">
        <v>54947</v>
      </c>
      <c r="N245">
        <v>312978</v>
      </c>
      <c r="O245">
        <v>190867</v>
      </c>
      <c r="P245">
        <v>115989</v>
      </c>
      <c r="Q245">
        <v>322360</v>
      </c>
    </row>
    <row r="246" spans="1:17" x14ac:dyDescent="0.25">
      <c r="A246" s="29" t="str">
        <f>_xll.EVPRO("Finance",$C246,"Inv_Type")</f>
        <v>Inv_Equity</v>
      </c>
      <c r="B246" s="29" t="str">
        <f t="shared" si="6"/>
        <v>SHC of Chapel Hill</v>
      </c>
      <c r="C246" s="29" t="str">
        <f t="shared" si="7"/>
        <v>S09201 - SHC of Chapel Hill</v>
      </c>
      <c r="D246" s="31"/>
      <c r="E246" s="3" t="str">
        <f xml:space="preserve"> _xll.EPMOlapMemberO("[ACCOUNT].[H1].[T_MGMT_FEE]","","T_MGMT_FEE - Tenant Management Fee - Actual","","000")</f>
        <v>T_MGMT_FEE - Tenant Management Fee - Actual</v>
      </c>
      <c r="F246" s="233">
        <v>36069</v>
      </c>
      <c r="G246" s="233">
        <v>45187</v>
      </c>
      <c r="H246" s="233">
        <v>43681</v>
      </c>
      <c r="I246" s="233">
        <v>29742</v>
      </c>
      <c r="J246">
        <v>45672</v>
      </c>
      <c r="K246">
        <v>38883</v>
      </c>
      <c r="L246">
        <v>38222</v>
      </c>
      <c r="M246">
        <v>35303</v>
      </c>
      <c r="N246">
        <v>49834</v>
      </c>
      <c r="O246">
        <v>44574</v>
      </c>
      <c r="P246">
        <v>47134</v>
      </c>
      <c r="Q246">
        <v>50299</v>
      </c>
    </row>
    <row r="247" spans="1:17" x14ac:dyDescent="0.25">
      <c r="A247" s="29" t="str">
        <f>_xll.EVPRO("Finance",$C247,"Inv_Type")</f>
        <v>Inv_Equity</v>
      </c>
      <c r="B247" s="29" t="str">
        <f t="shared" si="6"/>
        <v>SHC of Chapel Hill</v>
      </c>
      <c r="C247" s="29" t="str">
        <f t="shared" si="7"/>
        <v>S09201 - SHC of Chapel Hill</v>
      </c>
      <c r="D247" s="31"/>
      <c r="E247" s="2" t="str">
        <f xml:space="preserve"> _xll.EPMOlapMemberO("[ACCOUNT].[H1].[T_EBITDAR]","","T_EBITDAR - EBITDAR","","000")</f>
        <v>T_EBITDAR - EBITDAR</v>
      </c>
      <c r="F247" s="233">
        <v>52662</v>
      </c>
      <c r="G247" s="233">
        <v>116261</v>
      </c>
      <c r="H247" s="233">
        <v>195553</v>
      </c>
      <c r="I247" s="233">
        <v>-362732</v>
      </c>
      <c r="J247">
        <v>209748</v>
      </c>
      <c r="K247">
        <v>93118</v>
      </c>
      <c r="L247">
        <v>142845</v>
      </c>
      <c r="M247">
        <v>19644</v>
      </c>
      <c r="N247">
        <v>263144</v>
      </c>
      <c r="O247">
        <v>146293</v>
      </c>
      <c r="P247">
        <v>68855</v>
      </c>
      <c r="Q247">
        <v>272061</v>
      </c>
    </row>
    <row r="248" spans="1:17" x14ac:dyDescent="0.25">
      <c r="A248" s="29" t="str">
        <f>_xll.EVPRO("Finance",$C248,"Inv_Type")</f>
        <v>Inv_Equity</v>
      </c>
      <c r="B248" s="29" t="str">
        <f t="shared" si="6"/>
        <v>SHC of Chapel Hill</v>
      </c>
      <c r="C248" s="29" t="str">
        <f t="shared" si="7"/>
        <v>S09201 - SHC of Chapel Hill</v>
      </c>
      <c r="D248" s="31"/>
      <c r="E248" s="2" t="str">
        <f xml:space="preserve"> _xll.EPMOlapMemberO("[ACCOUNT].[H1].[T_RENT_EXP]","","T_RENT_EXP - Tenant Rent Expense","","000")</f>
        <v>T_RENT_EXP - Tenant Rent Expense</v>
      </c>
      <c r="F248" s="233">
        <v>5253</v>
      </c>
      <c r="G248" s="233">
        <v>5253</v>
      </c>
      <c r="H248" s="233">
        <v>5253</v>
      </c>
      <c r="I248" s="233">
        <v>5384</v>
      </c>
      <c r="J248">
        <v>5384</v>
      </c>
      <c r="K248">
        <v>5384</v>
      </c>
      <c r="L248">
        <v>5384</v>
      </c>
      <c r="M248">
        <v>5384</v>
      </c>
      <c r="N248">
        <v>5384</v>
      </c>
      <c r="O248">
        <v>5384</v>
      </c>
      <c r="P248">
        <v>5384</v>
      </c>
      <c r="Q248">
        <v>5384</v>
      </c>
    </row>
    <row r="249" spans="1:17" x14ac:dyDescent="0.25">
      <c r="A249" s="29" t="str">
        <f>_xll.EVPRO("Finance",$C249,"Inv_Type")</f>
        <v>Inv_Equity</v>
      </c>
      <c r="B249" s="29" t="str">
        <f t="shared" si="6"/>
        <v>SHC of Chillicothe</v>
      </c>
      <c r="C249" s="29" t="str">
        <f t="shared" si="7"/>
        <v>S09202 - SHC of Chillicothe</v>
      </c>
      <c r="D249" s="31" t="str">
        <f xml:space="preserve"> _xll.EPMOlapMemberO("[ENTITY].[H1].[S09202]","","S09202 - SHC of Chillicothe","","000")</f>
        <v>S09202 - SHC of Chillicothe</v>
      </c>
      <c r="E249" s="31" t="str">
        <f xml:space="preserve"> _xll.EPMOlapMemberO("[ACCOUNT].[H1].[PAY_PAT_DAYS]","","PAY_PAT_DAYS - Total Payor Patient Days","","000")</f>
        <v>PAY_PAT_DAYS - Total Payor Patient Days</v>
      </c>
      <c r="F249" s="233">
        <v>2406</v>
      </c>
      <c r="G249" s="233">
        <v>1745</v>
      </c>
      <c r="H249" s="233">
        <v>1584</v>
      </c>
      <c r="I249" s="233">
        <v>1784</v>
      </c>
      <c r="J249">
        <v>1859</v>
      </c>
      <c r="K249">
        <v>1730</v>
      </c>
      <c r="L249">
        <v>1808</v>
      </c>
      <c r="M249">
        <v>1838</v>
      </c>
      <c r="N249">
        <v>1826</v>
      </c>
      <c r="O249">
        <v>1650</v>
      </c>
      <c r="P249">
        <v>1670</v>
      </c>
      <c r="Q249">
        <v>1728</v>
      </c>
    </row>
    <row r="250" spans="1:17" x14ac:dyDescent="0.25">
      <c r="A250" s="29" t="str">
        <f>_xll.EVPRO("Finance",$C250,"Inv_Type")</f>
        <v>Inv_Equity</v>
      </c>
      <c r="B250" s="29" t="str">
        <f t="shared" si="6"/>
        <v>SHC of Chillicothe</v>
      </c>
      <c r="C250" s="29" t="str">
        <f t="shared" si="7"/>
        <v>S09202 - SHC of Chillicothe</v>
      </c>
      <c r="D250" s="31"/>
      <c r="E250" s="2" t="str">
        <f xml:space="preserve"> _xll.EPMOlapMemberO("[ACCOUNT].[H1].[A_BEDS_TOTAL]","","A_BEDS_TOTAL - Total Available Beds","","000")</f>
        <v>A_BEDS_TOTAL - Total Available Beds</v>
      </c>
      <c r="F250" s="233">
        <v>101</v>
      </c>
      <c r="G250" s="233">
        <v>101</v>
      </c>
      <c r="H250" s="233">
        <v>101</v>
      </c>
      <c r="I250" s="233">
        <v>101</v>
      </c>
      <c r="J250">
        <v>101</v>
      </c>
      <c r="K250">
        <v>101</v>
      </c>
      <c r="L250">
        <v>101</v>
      </c>
      <c r="M250">
        <v>101</v>
      </c>
      <c r="N250">
        <v>101</v>
      </c>
      <c r="O250">
        <v>101</v>
      </c>
      <c r="P250">
        <v>101</v>
      </c>
      <c r="Q250">
        <v>101</v>
      </c>
    </row>
    <row r="251" spans="1:17" x14ac:dyDescent="0.25">
      <c r="A251" s="29" t="str">
        <f>_xll.EVPRO("Finance",$C251,"Inv_Type")</f>
        <v>Inv_Equity</v>
      </c>
      <c r="B251" s="29" t="str">
        <f t="shared" ref="B251:B314" si="8">MID($C251,FIND("- ",$C251)+2,10000)</f>
        <v>SHC of Chillicothe</v>
      </c>
      <c r="C251" s="29" t="str">
        <f t="shared" si="7"/>
        <v>S09202 - SHC of Chillicothe</v>
      </c>
      <c r="D251" s="31"/>
      <c r="E251" s="15" t="str">
        <f xml:space="preserve"> _xll.EPMOlapMemberO("[ACCOUNT].[H1].[T_REVENUES]","","T_REVENUES - Total Tenant Revenues","","000")</f>
        <v>T_REVENUES - Total Tenant Revenues</v>
      </c>
      <c r="F251" s="233">
        <v>829884</v>
      </c>
      <c r="G251" s="233">
        <v>920943</v>
      </c>
      <c r="H251" s="233">
        <v>670729</v>
      </c>
      <c r="I251" s="233">
        <v>920027</v>
      </c>
      <c r="J251">
        <v>526899</v>
      </c>
      <c r="K251">
        <v>503517</v>
      </c>
      <c r="L251">
        <v>514702</v>
      </c>
      <c r="M251">
        <v>513835</v>
      </c>
      <c r="N251">
        <v>502153</v>
      </c>
      <c r="O251">
        <v>457954</v>
      </c>
      <c r="P251">
        <v>510285</v>
      </c>
      <c r="Q251">
        <v>520521</v>
      </c>
    </row>
    <row r="252" spans="1:17" x14ac:dyDescent="0.25">
      <c r="A252" s="29" t="str">
        <f>_xll.EVPRO("Finance",$C252,"Inv_Type")</f>
        <v>Inv_Equity</v>
      </c>
      <c r="B252" s="29" t="str">
        <f t="shared" si="8"/>
        <v>SHC of Chillicothe</v>
      </c>
      <c r="C252" s="29" t="str">
        <f t="shared" si="7"/>
        <v>S09202 - SHC of Chillicothe</v>
      </c>
      <c r="D252" s="31"/>
      <c r="E252" s="15" t="str">
        <f xml:space="preserve"> _xll.EPMOlapMemberO("[ACCOUNT].[H1].[T_OPEX]","","T_OPEX - Tenant Operating Expenses","","000")</f>
        <v>T_OPEX - Tenant Operating Expenses</v>
      </c>
      <c r="F252" s="233">
        <v>561178</v>
      </c>
      <c r="G252" s="233">
        <v>570988</v>
      </c>
      <c r="H252" s="233">
        <v>437621</v>
      </c>
      <c r="I252" s="233">
        <v>450012</v>
      </c>
      <c r="J252">
        <v>508212</v>
      </c>
      <c r="K252">
        <v>446475</v>
      </c>
      <c r="L252">
        <v>459766</v>
      </c>
      <c r="M252">
        <v>469978</v>
      </c>
      <c r="N252">
        <v>458653</v>
      </c>
      <c r="O252">
        <v>452159</v>
      </c>
      <c r="P252">
        <v>464548</v>
      </c>
      <c r="Q252">
        <v>463909</v>
      </c>
    </row>
    <row r="253" spans="1:17" x14ac:dyDescent="0.25">
      <c r="A253" s="29" t="str">
        <f>_xll.EVPRO("Finance",$C253,"Inv_Type")</f>
        <v>Inv_Equity</v>
      </c>
      <c r="B253" s="29" t="str">
        <f t="shared" si="8"/>
        <v>SHC of Chillicothe</v>
      </c>
      <c r="C253" s="29" t="str">
        <f t="shared" si="7"/>
        <v>S09202 - SHC of Chillicothe</v>
      </c>
      <c r="D253" s="31"/>
      <c r="E253" s="2" t="str">
        <f xml:space="preserve"> _xll.EPMOlapMemberO("[ACCOUNT].[H1].[T_NON_OP_EXP]","","T_NON_OP_EXP - Tenant Non-Operating Expense","","000")</f>
        <v>T_NON_OP_EXP - Tenant Non-Operating Expense</v>
      </c>
      <c r="F253" s="233">
        <v>22229</v>
      </c>
      <c r="G253" s="233">
        <v>22348</v>
      </c>
      <c r="H253" s="233">
        <v>21582</v>
      </c>
      <c r="I253" s="233">
        <v>15754</v>
      </c>
      <c r="J253">
        <v>21878</v>
      </c>
      <c r="K253">
        <v>16129</v>
      </c>
      <c r="L253">
        <v>16752</v>
      </c>
      <c r="M253">
        <v>18603</v>
      </c>
      <c r="N253">
        <v>15994</v>
      </c>
      <c r="O253">
        <v>17396</v>
      </c>
      <c r="P253">
        <v>17820</v>
      </c>
      <c r="Q253">
        <v>17687</v>
      </c>
    </row>
    <row r="254" spans="1:17" x14ac:dyDescent="0.25">
      <c r="A254" s="29" t="str">
        <f>_xll.EVPRO("Finance",$C254,"Inv_Type")</f>
        <v>Inv_Equity</v>
      </c>
      <c r="B254" s="29" t="str">
        <f t="shared" si="8"/>
        <v>SHC of Chillicothe</v>
      </c>
      <c r="C254" s="29" t="str">
        <f t="shared" si="7"/>
        <v>S09202 - SHC of Chillicothe</v>
      </c>
      <c r="D254" s="31"/>
      <c r="E254" s="16" t="str">
        <f xml:space="preserve"> _xll.EPMOlapMemberO("[ACCOUNT].[H1].[T_BAD_DEBT]","","T_BAD_DEBT - Tenant Bad Debt Expense","","000")</f>
        <v>T_BAD_DEBT - Tenant Bad Debt Expense</v>
      </c>
      <c r="F254" s="233">
        <v>13027</v>
      </c>
      <c r="G254" s="233">
        <v>13579</v>
      </c>
      <c r="H254" s="233">
        <v>1000</v>
      </c>
      <c r="I254" s="233">
        <v>46892</v>
      </c>
      <c r="J254">
        <v>15337</v>
      </c>
      <c r="K254">
        <v>16000</v>
      </c>
      <c r="M254">
        <v>6899</v>
      </c>
      <c r="O254">
        <v>10000</v>
      </c>
      <c r="P254">
        <v>10000</v>
      </c>
      <c r="Q254">
        <v>7500</v>
      </c>
    </row>
    <row r="255" spans="1:17" x14ac:dyDescent="0.25">
      <c r="A255" s="29" t="str">
        <f>_xll.EVPRO("Finance",$C255,"Inv_Type")</f>
        <v>Inv_Equity</v>
      </c>
      <c r="B255" s="29" t="str">
        <f t="shared" si="8"/>
        <v>SHC of Chillicothe</v>
      </c>
      <c r="C255" s="29" t="str">
        <f t="shared" si="7"/>
        <v>S09202 - SHC of Chillicothe</v>
      </c>
      <c r="D255" s="31"/>
      <c r="E255" s="3" t="str">
        <f xml:space="preserve"> _xll.EPMOlapMemberO("[ACCOUNT].[H1].[T_EBITDARM]","","T_EBITDARM - EBITDARM","","000")</f>
        <v>T_EBITDARM - EBITDARM</v>
      </c>
      <c r="F255" s="233">
        <v>268706</v>
      </c>
      <c r="G255" s="233">
        <v>349955</v>
      </c>
      <c r="H255" s="233">
        <v>233108</v>
      </c>
      <c r="I255" s="233">
        <v>470015</v>
      </c>
      <c r="J255">
        <v>18687</v>
      </c>
      <c r="K255">
        <v>57042</v>
      </c>
      <c r="L255">
        <v>54936</v>
      </c>
      <c r="M255">
        <v>43857</v>
      </c>
      <c r="N255">
        <v>43500</v>
      </c>
      <c r="O255">
        <v>5795</v>
      </c>
      <c r="P255">
        <v>45737</v>
      </c>
      <c r="Q255">
        <v>56612</v>
      </c>
    </row>
    <row r="256" spans="1:17" x14ac:dyDescent="0.25">
      <c r="A256" s="29" t="str">
        <f>_xll.EVPRO("Finance",$C256,"Inv_Type")</f>
        <v>Inv_Equity</v>
      </c>
      <c r="B256" s="29" t="str">
        <f t="shared" si="8"/>
        <v>SHC of Chillicothe</v>
      </c>
      <c r="C256" s="29" t="str">
        <f t="shared" si="7"/>
        <v>S09202 - SHC of Chillicothe</v>
      </c>
      <c r="D256" s="31"/>
      <c r="E256" s="3" t="str">
        <f xml:space="preserve"> _xll.EPMOlapMemberO("[ACCOUNT].[H1].[T_MGMT_FEE]","","T_MGMT_FEE - Tenant Management Fee - Actual","","000")</f>
        <v>T_MGMT_FEE - Tenant Management Fee - Actual</v>
      </c>
      <c r="F256" s="233">
        <v>41521</v>
      </c>
      <c r="G256" s="233">
        <v>46508</v>
      </c>
      <c r="H256" s="233">
        <v>33872</v>
      </c>
      <c r="I256" s="233">
        <v>49172</v>
      </c>
      <c r="J256">
        <v>26608</v>
      </c>
      <c r="K256">
        <v>25428</v>
      </c>
      <c r="L256">
        <v>25992</v>
      </c>
      <c r="M256">
        <v>25949</v>
      </c>
      <c r="N256">
        <v>25359</v>
      </c>
      <c r="O256">
        <v>23127</v>
      </c>
      <c r="P256">
        <v>25769</v>
      </c>
      <c r="Q256">
        <v>26286</v>
      </c>
    </row>
    <row r="257" spans="1:17" x14ac:dyDescent="0.25">
      <c r="A257" s="29" t="str">
        <f>_xll.EVPRO("Finance",$C257,"Inv_Type")</f>
        <v>Inv_Equity</v>
      </c>
      <c r="B257" s="29" t="str">
        <f t="shared" si="8"/>
        <v>SHC of Chillicothe</v>
      </c>
      <c r="C257" s="29" t="str">
        <f t="shared" si="7"/>
        <v>S09202 - SHC of Chillicothe</v>
      </c>
      <c r="D257" s="31"/>
      <c r="E257" s="2" t="str">
        <f xml:space="preserve"> _xll.EPMOlapMemberO("[ACCOUNT].[H1].[T_EBITDAR]","","T_EBITDAR - EBITDAR","","000")</f>
        <v>T_EBITDAR - EBITDAR</v>
      </c>
      <c r="F257" s="233">
        <v>227185</v>
      </c>
      <c r="G257" s="233">
        <v>303447</v>
      </c>
      <c r="H257" s="233">
        <v>199236</v>
      </c>
      <c r="I257" s="233">
        <v>420843</v>
      </c>
      <c r="J257">
        <v>-7921</v>
      </c>
      <c r="K257">
        <v>31614</v>
      </c>
      <c r="L257">
        <v>28944</v>
      </c>
      <c r="M257">
        <v>17908</v>
      </c>
      <c r="N257">
        <v>18141</v>
      </c>
      <c r="O257">
        <v>-17332</v>
      </c>
      <c r="P257">
        <v>19968</v>
      </c>
      <c r="Q257">
        <v>30326</v>
      </c>
    </row>
    <row r="258" spans="1:17" x14ac:dyDescent="0.25">
      <c r="A258" s="29" t="str">
        <f>_xll.EVPRO("Finance",$C258,"Inv_Type")</f>
        <v>Inv_Equity</v>
      </c>
      <c r="B258" s="29" t="str">
        <f t="shared" si="8"/>
        <v>SHC of Chillicothe</v>
      </c>
      <c r="C258" s="29" t="str">
        <f t="shared" si="7"/>
        <v>S09202 - SHC of Chillicothe</v>
      </c>
      <c r="D258" s="31"/>
      <c r="E258" s="2" t="str">
        <f xml:space="preserve"> _xll.EPMOlapMemberO("[ACCOUNT].[H1].[T_RENT_EXP]","","T_RENT_EXP - Tenant Rent Expense","","000")</f>
        <v>T_RENT_EXP - Tenant Rent Expense</v>
      </c>
      <c r="F258" s="233">
        <v>142321</v>
      </c>
      <c r="G258" s="233">
        <v>142321</v>
      </c>
      <c r="H258" s="233">
        <v>142321</v>
      </c>
      <c r="I258" s="233">
        <v>145879</v>
      </c>
      <c r="J258">
        <v>145879</v>
      </c>
      <c r="K258">
        <v>145879</v>
      </c>
      <c r="L258">
        <v>145879</v>
      </c>
      <c r="M258">
        <v>145879</v>
      </c>
      <c r="N258">
        <v>145879</v>
      </c>
      <c r="O258">
        <v>145879</v>
      </c>
      <c r="P258">
        <v>145879</v>
      </c>
      <c r="Q258">
        <v>145879</v>
      </c>
    </row>
    <row r="259" spans="1:17" x14ac:dyDescent="0.25">
      <c r="A259" s="29" t="str">
        <f>_xll.EVPRO("Finance",$C259,"Inv_Type")</f>
        <v>Inv_Equity</v>
      </c>
      <c r="B259" s="29" t="str">
        <f t="shared" si="8"/>
        <v>SHC of Coshocton</v>
      </c>
      <c r="C259" s="29" t="str">
        <f t="shared" si="7"/>
        <v>S09203 - SHC of Coshocton</v>
      </c>
      <c r="D259" s="31" t="str">
        <f xml:space="preserve"> _xll.EPMOlapMemberO("[ENTITY].[H1].[S09203]","","S09203 - SHC of Coshocton","","000")</f>
        <v>S09203 - SHC of Coshocton</v>
      </c>
      <c r="E259" s="31" t="str">
        <f xml:space="preserve"> _xll.EPMOlapMemberO("[ACCOUNT].[H1].[PAY_PAT_DAYS]","","PAY_PAT_DAYS - Total Payor Patient Days","","000")</f>
        <v>PAY_PAT_DAYS - Total Payor Patient Days</v>
      </c>
      <c r="F259" s="233">
        <v>1018</v>
      </c>
      <c r="G259" s="233">
        <v>1040</v>
      </c>
      <c r="H259" s="233">
        <v>1118</v>
      </c>
      <c r="I259" s="233">
        <v>1236</v>
      </c>
      <c r="J259">
        <v>1202</v>
      </c>
      <c r="K259">
        <v>1178</v>
      </c>
      <c r="L259">
        <v>1224</v>
      </c>
      <c r="M259">
        <v>1209</v>
      </c>
      <c r="N259">
        <v>1296</v>
      </c>
      <c r="O259">
        <v>1277</v>
      </c>
      <c r="P259">
        <v>1365</v>
      </c>
      <c r="Q259">
        <v>1404</v>
      </c>
    </row>
    <row r="260" spans="1:17" x14ac:dyDescent="0.25">
      <c r="A260" s="29" t="str">
        <f>_xll.EVPRO("Finance",$C260,"Inv_Type")</f>
        <v>Inv_Equity</v>
      </c>
      <c r="B260" s="29" t="str">
        <f t="shared" si="8"/>
        <v>SHC of Coshocton</v>
      </c>
      <c r="C260" s="29" t="str">
        <f t="shared" si="7"/>
        <v>S09203 - SHC of Coshocton</v>
      </c>
      <c r="D260" s="31"/>
      <c r="E260" s="2" t="str">
        <f xml:space="preserve"> _xll.EPMOlapMemberO("[ACCOUNT].[H1].[A_BEDS_TOTAL]","","A_BEDS_TOTAL - Total Available Beds","","000")</f>
        <v>A_BEDS_TOTAL - Total Available Beds</v>
      </c>
      <c r="F260" s="233">
        <v>83</v>
      </c>
      <c r="G260" s="233">
        <v>83</v>
      </c>
      <c r="H260" s="233">
        <v>83</v>
      </c>
      <c r="I260" s="233">
        <v>83</v>
      </c>
      <c r="J260">
        <v>83</v>
      </c>
      <c r="K260">
        <v>83</v>
      </c>
      <c r="L260">
        <v>83</v>
      </c>
      <c r="M260">
        <v>83</v>
      </c>
      <c r="N260">
        <v>83</v>
      </c>
      <c r="O260">
        <v>83</v>
      </c>
      <c r="P260">
        <v>83</v>
      </c>
      <c r="Q260">
        <v>83</v>
      </c>
    </row>
    <row r="261" spans="1:17" x14ac:dyDescent="0.25">
      <c r="A261" s="29" t="str">
        <f>_xll.EVPRO("Finance",$C261,"Inv_Type")</f>
        <v>Inv_Equity</v>
      </c>
      <c r="B261" s="29" t="str">
        <f t="shared" si="8"/>
        <v>SHC of Coshocton</v>
      </c>
      <c r="C261" s="29" t="str">
        <f t="shared" si="7"/>
        <v>S09203 - SHC of Coshocton</v>
      </c>
      <c r="D261" s="31"/>
      <c r="E261" s="15" t="str">
        <f xml:space="preserve"> _xll.EPMOlapMemberO("[ACCOUNT].[H1].[T_REVENUES]","","T_REVENUES - Total Tenant Revenues","","000")</f>
        <v>T_REVENUES - Total Tenant Revenues</v>
      </c>
      <c r="F261" s="233">
        <v>261211</v>
      </c>
      <c r="G261" s="233">
        <v>403779</v>
      </c>
      <c r="H261" s="233">
        <v>321178</v>
      </c>
      <c r="I261" s="233">
        <v>467786</v>
      </c>
      <c r="J261">
        <v>317756</v>
      </c>
      <c r="K261">
        <v>301570</v>
      </c>
      <c r="L261">
        <v>311164</v>
      </c>
      <c r="M261">
        <v>314501</v>
      </c>
      <c r="N261">
        <v>314148</v>
      </c>
      <c r="O261">
        <v>294675</v>
      </c>
      <c r="P261">
        <v>333475</v>
      </c>
      <c r="Q261">
        <v>367705</v>
      </c>
    </row>
    <row r="262" spans="1:17" x14ac:dyDescent="0.25">
      <c r="A262" s="29" t="str">
        <f>_xll.EVPRO("Finance",$C262,"Inv_Type")</f>
        <v>Inv_Equity</v>
      </c>
      <c r="B262" s="29" t="str">
        <f t="shared" si="8"/>
        <v>SHC of Coshocton</v>
      </c>
      <c r="C262" s="29" t="str">
        <f t="shared" ref="C262:C325" si="9">IF($D262&lt;&gt;"",$D262,C261)</f>
        <v>S09203 - SHC of Coshocton</v>
      </c>
      <c r="D262" s="31"/>
      <c r="E262" s="15" t="str">
        <f xml:space="preserve"> _xll.EPMOlapMemberO("[ACCOUNT].[H1].[T_OPEX]","","T_OPEX - Tenant Operating Expenses","","000")</f>
        <v>T_OPEX - Tenant Operating Expenses</v>
      </c>
      <c r="F262" s="233">
        <v>311676</v>
      </c>
      <c r="G262" s="233">
        <v>312936</v>
      </c>
      <c r="H262" s="233">
        <v>316987</v>
      </c>
      <c r="I262" s="233">
        <v>324633</v>
      </c>
      <c r="J262">
        <v>328849</v>
      </c>
      <c r="K262">
        <v>305789</v>
      </c>
      <c r="L262">
        <v>331892</v>
      </c>
      <c r="M262">
        <v>306837</v>
      </c>
      <c r="N262">
        <v>331705</v>
      </c>
      <c r="O262">
        <v>347457</v>
      </c>
      <c r="P262">
        <v>351196</v>
      </c>
      <c r="Q262">
        <v>363717</v>
      </c>
    </row>
    <row r="263" spans="1:17" x14ac:dyDescent="0.25">
      <c r="A263" s="29" t="str">
        <f>_xll.EVPRO("Finance",$C263,"Inv_Type")</f>
        <v>Inv_Equity</v>
      </c>
      <c r="B263" s="29" t="str">
        <f t="shared" si="8"/>
        <v>SHC of Coshocton</v>
      </c>
      <c r="C263" s="29" t="str">
        <f t="shared" si="9"/>
        <v>S09203 - SHC of Coshocton</v>
      </c>
      <c r="D263" s="31"/>
      <c r="E263" s="2" t="str">
        <f xml:space="preserve"> _xll.EPMOlapMemberO("[ACCOUNT].[H1].[T_NON_OP_EXP]","","T_NON_OP_EXP - Tenant Non-Operating Expense","","000")</f>
        <v>T_NON_OP_EXP - Tenant Non-Operating Expense</v>
      </c>
      <c r="F263" s="233">
        <v>15238</v>
      </c>
      <c r="G263" s="233">
        <v>15696</v>
      </c>
      <c r="H263" s="233">
        <v>15186</v>
      </c>
      <c r="I263" s="233">
        <v>13591</v>
      </c>
      <c r="J263">
        <v>18088</v>
      </c>
      <c r="K263">
        <v>14225</v>
      </c>
      <c r="L263">
        <v>13786</v>
      </c>
      <c r="M263">
        <v>15640</v>
      </c>
      <c r="N263">
        <v>14405</v>
      </c>
      <c r="O263">
        <v>15187</v>
      </c>
      <c r="P263">
        <v>15284</v>
      </c>
      <c r="Q263">
        <v>15343</v>
      </c>
    </row>
    <row r="264" spans="1:17" x14ac:dyDescent="0.25">
      <c r="A264" s="29" t="str">
        <f>_xll.EVPRO("Finance",$C264,"Inv_Type")</f>
        <v>Inv_Equity</v>
      </c>
      <c r="B264" s="29" t="str">
        <f t="shared" si="8"/>
        <v>SHC of Coshocton</v>
      </c>
      <c r="C264" s="29" t="str">
        <f t="shared" si="9"/>
        <v>S09203 - SHC of Coshocton</v>
      </c>
      <c r="D264" s="31"/>
      <c r="E264" s="16" t="str">
        <f xml:space="preserve"> _xll.EPMOlapMemberO("[ACCOUNT].[H1].[T_BAD_DEBT]","","T_BAD_DEBT - Tenant Bad Debt Expense","","000")</f>
        <v>T_BAD_DEBT - Tenant Bad Debt Expense</v>
      </c>
      <c r="F264" s="233">
        <v>4517</v>
      </c>
      <c r="G264" s="233">
        <v>7302</v>
      </c>
      <c r="H264" s="233">
        <v>18000</v>
      </c>
      <c r="I264" s="233">
        <v>51118</v>
      </c>
      <c r="J264">
        <v>5805</v>
      </c>
      <c r="K264">
        <v>8000</v>
      </c>
      <c r="L264">
        <v>1140</v>
      </c>
      <c r="M264">
        <v>6670</v>
      </c>
      <c r="P264">
        <v>7500</v>
      </c>
      <c r="Q264">
        <v>10000</v>
      </c>
    </row>
    <row r="265" spans="1:17" x14ac:dyDescent="0.25">
      <c r="A265" s="29" t="str">
        <f>_xll.EVPRO("Finance",$C265,"Inv_Type")</f>
        <v>Inv_Equity</v>
      </c>
      <c r="B265" s="29" t="str">
        <f t="shared" si="8"/>
        <v>SHC of Coshocton</v>
      </c>
      <c r="C265" s="29" t="str">
        <f t="shared" si="9"/>
        <v>S09203 - SHC of Coshocton</v>
      </c>
      <c r="D265" s="31"/>
      <c r="E265" s="3" t="str">
        <f xml:space="preserve"> _xll.EPMOlapMemberO("[ACCOUNT].[H1].[T_EBITDARM]","","T_EBITDARM - EBITDARM","","000")</f>
        <v>T_EBITDARM - EBITDARM</v>
      </c>
      <c r="F265" s="233">
        <v>-50465</v>
      </c>
      <c r="G265" s="233">
        <v>90843</v>
      </c>
      <c r="H265" s="233">
        <v>4191</v>
      </c>
      <c r="I265" s="233">
        <v>143153</v>
      </c>
      <c r="J265">
        <v>-11093</v>
      </c>
      <c r="K265">
        <v>-4219</v>
      </c>
      <c r="L265">
        <v>-20728</v>
      </c>
      <c r="M265">
        <v>7664</v>
      </c>
      <c r="N265">
        <v>-17557</v>
      </c>
      <c r="O265">
        <v>-52782</v>
      </c>
      <c r="P265">
        <v>-17721</v>
      </c>
      <c r="Q265">
        <v>3988</v>
      </c>
    </row>
    <row r="266" spans="1:17" x14ac:dyDescent="0.25">
      <c r="A266" s="29" t="str">
        <f>_xll.EVPRO("Finance",$C266,"Inv_Type")</f>
        <v>Inv_Equity</v>
      </c>
      <c r="B266" s="29" t="str">
        <f t="shared" si="8"/>
        <v>SHC of Coshocton</v>
      </c>
      <c r="C266" s="29" t="str">
        <f t="shared" si="9"/>
        <v>S09203 - SHC of Coshocton</v>
      </c>
      <c r="D266" s="31"/>
      <c r="E266" s="3" t="str">
        <f xml:space="preserve"> _xll.EPMOlapMemberO("[ACCOUNT].[H1].[T_MGMT_FEE]","","T_MGMT_FEE - Tenant Management Fee - Actual","","000")</f>
        <v>T_MGMT_FEE - Tenant Management Fee - Actual</v>
      </c>
      <c r="F266" s="233">
        <v>13005</v>
      </c>
      <c r="G266" s="233">
        <v>20391</v>
      </c>
      <c r="H266" s="233">
        <v>16219</v>
      </c>
      <c r="I266" s="233">
        <v>23579</v>
      </c>
      <c r="J266">
        <v>16047</v>
      </c>
      <c r="K266">
        <v>15229</v>
      </c>
      <c r="L266">
        <v>15714</v>
      </c>
      <c r="M266">
        <v>15882</v>
      </c>
      <c r="N266">
        <v>15865</v>
      </c>
      <c r="O266">
        <v>14881</v>
      </c>
      <c r="P266">
        <v>16841</v>
      </c>
      <c r="Q266">
        <v>18569</v>
      </c>
    </row>
    <row r="267" spans="1:17" x14ac:dyDescent="0.25">
      <c r="A267" s="29" t="str">
        <f>_xll.EVPRO("Finance",$C267,"Inv_Type")</f>
        <v>Inv_Equity</v>
      </c>
      <c r="B267" s="29" t="str">
        <f t="shared" si="8"/>
        <v>SHC of Coshocton</v>
      </c>
      <c r="C267" s="29" t="str">
        <f t="shared" si="9"/>
        <v>S09203 - SHC of Coshocton</v>
      </c>
      <c r="D267" s="31"/>
      <c r="E267" s="2" t="str">
        <f xml:space="preserve"> _xll.EPMOlapMemberO("[ACCOUNT].[H1].[T_EBITDAR]","","T_EBITDAR - EBITDAR","","000")</f>
        <v>T_EBITDAR - EBITDAR</v>
      </c>
      <c r="F267" s="233">
        <v>-63470</v>
      </c>
      <c r="G267" s="233">
        <v>70452</v>
      </c>
      <c r="H267" s="233">
        <v>-12028</v>
      </c>
      <c r="I267" s="233">
        <v>119574</v>
      </c>
      <c r="J267">
        <v>-27140</v>
      </c>
      <c r="K267">
        <v>-19448</v>
      </c>
      <c r="L267">
        <v>-36442</v>
      </c>
      <c r="M267">
        <v>-8218</v>
      </c>
      <c r="N267">
        <v>-33422</v>
      </c>
      <c r="O267">
        <v>-67663</v>
      </c>
      <c r="P267">
        <v>-34562</v>
      </c>
      <c r="Q267">
        <v>-14581</v>
      </c>
    </row>
    <row r="268" spans="1:17" x14ac:dyDescent="0.25">
      <c r="A268" s="29" t="str">
        <f>_xll.EVPRO("Finance",$C268,"Inv_Type")</f>
        <v>Inv_Equity</v>
      </c>
      <c r="B268" s="29" t="str">
        <f t="shared" si="8"/>
        <v>SHC of Coshocton</v>
      </c>
      <c r="C268" s="29" t="str">
        <f t="shared" si="9"/>
        <v>S09203 - SHC of Coshocton</v>
      </c>
      <c r="D268" s="31"/>
      <c r="E268" s="2" t="str">
        <f xml:space="preserve"> _xll.EPMOlapMemberO("[ACCOUNT].[H1].[T_RENT_EXP]","","T_RENT_EXP - Tenant Rent Expense","","000")</f>
        <v>T_RENT_EXP - Tenant Rent Expense</v>
      </c>
      <c r="F268" s="233">
        <v>33316</v>
      </c>
      <c r="G268" s="233">
        <v>33316</v>
      </c>
      <c r="H268" s="233">
        <v>33316</v>
      </c>
      <c r="I268" s="233">
        <v>34149</v>
      </c>
      <c r="J268">
        <v>34149</v>
      </c>
      <c r="K268">
        <v>34149</v>
      </c>
      <c r="L268">
        <v>34149</v>
      </c>
      <c r="M268">
        <v>34149</v>
      </c>
      <c r="N268">
        <v>34149</v>
      </c>
      <c r="O268">
        <v>34149</v>
      </c>
      <c r="P268">
        <v>34149</v>
      </c>
      <c r="Q268">
        <v>34149</v>
      </c>
    </row>
    <row r="269" spans="1:17" x14ac:dyDescent="0.25">
      <c r="A269" s="29" t="str">
        <f>_xll.EVPRO("Finance",$C269,"Inv_Type")</f>
        <v>Inv_Equity</v>
      </c>
      <c r="B269" s="29" t="str">
        <f t="shared" si="8"/>
        <v>SHC of McCreary County Rehab &amp; Wellness Center</v>
      </c>
      <c r="C269" s="29" t="str">
        <f t="shared" si="9"/>
        <v>S09281 - SHC of McCreary County Rehab &amp; Wellness Center</v>
      </c>
      <c r="D269" s="31" t="str">
        <f xml:space="preserve"> _xll.EPMOlapMemberO("[ENTITY].[H1].[S09281]","","S09281 - SHC of McCreary County Rehab &amp; Wellness Center","","000")</f>
        <v>S09281 - SHC of McCreary County Rehab &amp; Wellness Center</v>
      </c>
      <c r="E269" s="31" t="str">
        <f xml:space="preserve"> _xll.EPMOlapMemberO("[ACCOUNT].[H1].[PAY_PAT_DAYS]","","PAY_PAT_DAYS - Total Payor Patient Days","","000")</f>
        <v>PAY_PAT_DAYS - Total Payor Patient Days</v>
      </c>
      <c r="F269" s="233">
        <v>1532</v>
      </c>
      <c r="G269" s="233">
        <v>1688</v>
      </c>
      <c r="H269" s="233">
        <v>1625</v>
      </c>
      <c r="I269" s="233">
        <v>1469</v>
      </c>
      <c r="J269">
        <v>1248</v>
      </c>
      <c r="K269">
        <v>1221</v>
      </c>
      <c r="L269">
        <v>1449</v>
      </c>
      <c r="M269">
        <v>1461</v>
      </c>
      <c r="N269">
        <v>1522</v>
      </c>
      <c r="O269">
        <v>1514</v>
      </c>
      <c r="P269">
        <v>1651</v>
      </c>
      <c r="Q269">
        <v>1652</v>
      </c>
    </row>
    <row r="270" spans="1:17" x14ac:dyDescent="0.25">
      <c r="A270" s="29" t="str">
        <f>_xll.EVPRO("Finance",$C270,"Inv_Type")</f>
        <v>Inv_Equity</v>
      </c>
      <c r="B270" s="29" t="str">
        <f t="shared" si="8"/>
        <v>SHC of McCreary County Rehab &amp; Wellness Center</v>
      </c>
      <c r="C270" s="29" t="str">
        <f t="shared" si="9"/>
        <v>S09281 - SHC of McCreary County Rehab &amp; Wellness Center</v>
      </c>
      <c r="D270" s="31"/>
      <c r="E270" s="2" t="str">
        <f xml:space="preserve"> _xll.EPMOlapMemberO("[ACCOUNT].[H1].[A_BEDS_TOTAL]","","A_BEDS_TOTAL - Total Available Beds","","000")</f>
        <v>A_BEDS_TOTAL - Total Available Beds</v>
      </c>
      <c r="F270" s="233">
        <v>60</v>
      </c>
      <c r="G270" s="233">
        <v>60</v>
      </c>
      <c r="H270" s="233">
        <v>60</v>
      </c>
      <c r="I270" s="233">
        <v>60</v>
      </c>
      <c r="J270">
        <v>60</v>
      </c>
      <c r="K270">
        <v>60</v>
      </c>
      <c r="L270">
        <v>60</v>
      </c>
      <c r="M270">
        <v>60</v>
      </c>
      <c r="N270">
        <v>60</v>
      </c>
      <c r="O270">
        <v>60</v>
      </c>
      <c r="P270">
        <v>60</v>
      </c>
      <c r="Q270">
        <v>60</v>
      </c>
    </row>
    <row r="271" spans="1:17" x14ac:dyDescent="0.25">
      <c r="A271" s="29" t="str">
        <f>_xll.EVPRO("Finance",$C271,"Inv_Type")</f>
        <v>Inv_Equity</v>
      </c>
      <c r="B271" s="29" t="str">
        <f t="shared" si="8"/>
        <v>SHC of McCreary County Rehab &amp; Wellness Center</v>
      </c>
      <c r="C271" s="29" t="str">
        <f t="shared" si="9"/>
        <v>S09281 - SHC of McCreary County Rehab &amp; Wellness Center</v>
      </c>
      <c r="D271" s="31"/>
      <c r="E271" s="15" t="str">
        <f xml:space="preserve"> _xll.EPMOlapMemberO("[ACCOUNT].[H1].[T_REVENUES]","","T_REVENUES - Total Tenant Revenues","","000")</f>
        <v>T_REVENUES - Total Tenant Revenues</v>
      </c>
      <c r="F271" s="233">
        <v>380875</v>
      </c>
      <c r="G271" s="233">
        <v>435212</v>
      </c>
      <c r="H271" s="233">
        <v>466552</v>
      </c>
      <c r="I271" s="233">
        <v>653832</v>
      </c>
      <c r="J271">
        <v>468574</v>
      </c>
      <c r="K271">
        <v>352230</v>
      </c>
      <c r="L271">
        <v>419767</v>
      </c>
      <c r="M271">
        <v>405215</v>
      </c>
      <c r="N271">
        <v>419566</v>
      </c>
      <c r="O271">
        <v>408107</v>
      </c>
      <c r="P271">
        <v>445965</v>
      </c>
      <c r="Q271">
        <v>422758</v>
      </c>
    </row>
    <row r="272" spans="1:17" x14ac:dyDescent="0.25">
      <c r="A272" s="29" t="str">
        <f>_xll.EVPRO("Finance",$C272,"Inv_Type")</f>
        <v>Inv_Equity</v>
      </c>
      <c r="B272" s="29" t="str">
        <f t="shared" si="8"/>
        <v>SHC of McCreary County Rehab &amp; Wellness Center</v>
      </c>
      <c r="C272" s="29" t="str">
        <f t="shared" si="9"/>
        <v>S09281 - SHC of McCreary County Rehab &amp; Wellness Center</v>
      </c>
      <c r="D272" s="31"/>
      <c r="E272" s="15" t="str">
        <f xml:space="preserve"> _xll.EPMOlapMemberO("[ACCOUNT].[H1].[T_OPEX]","","T_OPEX - Tenant Operating Expenses","","000")</f>
        <v>T_OPEX - Tenant Operating Expenses</v>
      </c>
      <c r="F272" s="233">
        <v>327349</v>
      </c>
      <c r="G272" s="233">
        <v>360062</v>
      </c>
      <c r="H272" s="233">
        <v>390798</v>
      </c>
      <c r="I272" s="233">
        <v>530668</v>
      </c>
      <c r="J272">
        <v>396600</v>
      </c>
      <c r="K272">
        <v>346547</v>
      </c>
      <c r="L272">
        <v>364093</v>
      </c>
      <c r="M272">
        <v>322876</v>
      </c>
      <c r="N272">
        <v>323537</v>
      </c>
      <c r="O272">
        <v>319621</v>
      </c>
      <c r="P272">
        <v>363379</v>
      </c>
      <c r="Q272">
        <v>317067</v>
      </c>
    </row>
    <row r="273" spans="1:17" x14ac:dyDescent="0.25">
      <c r="A273" s="29" t="str">
        <f>_xll.EVPRO("Finance",$C273,"Inv_Type")</f>
        <v>Inv_Equity</v>
      </c>
      <c r="B273" s="29" t="str">
        <f t="shared" si="8"/>
        <v>SHC of McCreary County Rehab &amp; Wellness Center</v>
      </c>
      <c r="C273" s="29" t="str">
        <f t="shared" si="9"/>
        <v>S09281 - SHC of McCreary County Rehab &amp; Wellness Center</v>
      </c>
      <c r="D273" s="31"/>
      <c r="E273" s="2" t="str">
        <f xml:space="preserve"> _xll.EPMOlapMemberO("[ACCOUNT].[H1].[T_NON_OP_EXP]","","T_NON_OP_EXP - Tenant Non-Operating Expense","","000")</f>
        <v>T_NON_OP_EXP - Tenant Non-Operating Expense</v>
      </c>
      <c r="F273" s="233">
        <v>8734</v>
      </c>
      <c r="G273" s="233">
        <v>8978</v>
      </c>
      <c r="H273" s="233">
        <v>8860</v>
      </c>
      <c r="I273" s="233">
        <v>6702</v>
      </c>
      <c r="J273">
        <v>7264</v>
      </c>
      <c r="K273">
        <v>7410</v>
      </c>
      <c r="L273">
        <v>7373</v>
      </c>
      <c r="M273">
        <v>7844</v>
      </c>
      <c r="N273">
        <v>7334</v>
      </c>
      <c r="O273">
        <v>7912</v>
      </c>
      <c r="P273">
        <v>8248</v>
      </c>
      <c r="Q273">
        <v>7926</v>
      </c>
    </row>
    <row r="274" spans="1:17" x14ac:dyDescent="0.25">
      <c r="A274" s="29" t="str">
        <f>_xll.EVPRO("Finance",$C274,"Inv_Type")</f>
        <v>Inv_Equity</v>
      </c>
      <c r="B274" s="29" t="str">
        <f t="shared" si="8"/>
        <v>SHC of McCreary County Rehab &amp; Wellness Center</v>
      </c>
      <c r="C274" s="29" t="str">
        <f t="shared" si="9"/>
        <v>S09281 - SHC of McCreary County Rehab &amp; Wellness Center</v>
      </c>
      <c r="D274" s="31"/>
      <c r="E274" s="16" t="str">
        <f xml:space="preserve"> _xll.EPMOlapMemberO("[ACCOUNT].[H1].[T_BAD_DEBT]","","T_BAD_DEBT - Tenant Bad Debt Expense","","000")</f>
        <v>T_BAD_DEBT - Tenant Bad Debt Expense</v>
      </c>
      <c r="F274" s="233">
        <v>10000</v>
      </c>
      <c r="G274" s="233">
        <v>13461</v>
      </c>
      <c r="H274" s="233">
        <v>20000</v>
      </c>
      <c r="I274" s="233">
        <v>43009</v>
      </c>
      <c r="J274">
        <v>9000</v>
      </c>
      <c r="K274">
        <v>9000</v>
      </c>
      <c r="M274">
        <v>5000</v>
      </c>
      <c r="P274">
        <v>20000</v>
      </c>
      <c r="Q274">
        <v>5000</v>
      </c>
    </row>
    <row r="275" spans="1:17" x14ac:dyDescent="0.25">
      <c r="A275" s="29" t="str">
        <f>_xll.EVPRO("Finance",$C275,"Inv_Type")</f>
        <v>Inv_Equity</v>
      </c>
      <c r="B275" s="29" t="str">
        <f t="shared" si="8"/>
        <v>SHC of McCreary County Rehab &amp; Wellness Center</v>
      </c>
      <c r="C275" s="29" t="str">
        <f t="shared" si="9"/>
        <v>S09281 - SHC of McCreary County Rehab &amp; Wellness Center</v>
      </c>
      <c r="D275" s="31"/>
      <c r="E275" s="3" t="str">
        <f xml:space="preserve"> _xll.EPMOlapMemberO("[ACCOUNT].[H1].[T_EBITDARM]","","T_EBITDARM - EBITDARM","","000")</f>
        <v>T_EBITDARM - EBITDARM</v>
      </c>
      <c r="F275" s="233">
        <v>53526</v>
      </c>
      <c r="G275" s="233">
        <v>75150</v>
      </c>
      <c r="H275" s="233">
        <v>75754</v>
      </c>
      <c r="I275" s="233">
        <v>123164</v>
      </c>
      <c r="J275">
        <v>71974</v>
      </c>
      <c r="K275">
        <v>5683</v>
      </c>
      <c r="L275">
        <v>55674</v>
      </c>
      <c r="M275">
        <v>82339</v>
      </c>
      <c r="N275">
        <v>96029</v>
      </c>
      <c r="O275">
        <v>88486</v>
      </c>
      <c r="P275">
        <v>82586</v>
      </c>
      <c r="Q275">
        <v>105691</v>
      </c>
    </row>
    <row r="276" spans="1:17" x14ac:dyDescent="0.25">
      <c r="A276" s="29" t="str">
        <f>_xll.EVPRO("Finance",$C276,"Inv_Type")</f>
        <v>Inv_Equity</v>
      </c>
      <c r="B276" s="29" t="str">
        <f t="shared" si="8"/>
        <v>SHC of McCreary County Rehab &amp; Wellness Center</v>
      </c>
      <c r="C276" s="29" t="str">
        <f t="shared" si="9"/>
        <v>S09281 - SHC of McCreary County Rehab &amp; Wellness Center</v>
      </c>
      <c r="D276" s="31"/>
      <c r="E276" s="3" t="str">
        <f xml:space="preserve"> _xll.EPMOlapMemberO("[ACCOUNT].[H1].[T_MGMT_FEE]","","T_MGMT_FEE - Tenant Management Fee - Actual","","000")</f>
        <v>T_MGMT_FEE - Tenant Management Fee - Actual</v>
      </c>
      <c r="F276" s="233">
        <v>19127</v>
      </c>
      <c r="G276" s="233">
        <v>21978</v>
      </c>
      <c r="H276" s="233">
        <v>23561</v>
      </c>
      <c r="I276" s="233">
        <v>33661</v>
      </c>
      <c r="J276">
        <v>23663</v>
      </c>
      <c r="K276">
        <v>17788</v>
      </c>
      <c r="L276">
        <v>21198</v>
      </c>
      <c r="M276">
        <v>20463</v>
      </c>
      <c r="N276">
        <v>21188</v>
      </c>
      <c r="O276">
        <v>20609</v>
      </c>
      <c r="P276">
        <v>22521</v>
      </c>
      <c r="Q276">
        <v>21349</v>
      </c>
    </row>
    <row r="277" spans="1:17" x14ac:dyDescent="0.25">
      <c r="A277" s="29" t="str">
        <f>_xll.EVPRO("Finance",$C277,"Inv_Type")</f>
        <v>Inv_Equity</v>
      </c>
      <c r="B277" s="29" t="str">
        <f t="shared" si="8"/>
        <v>SHC of McCreary County Rehab &amp; Wellness Center</v>
      </c>
      <c r="C277" s="29" t="str">
        <f t="shared" si="9"/>
        <v>S09281 - SHC of McCreary County Rehab &amp; Wellness Center</v>
      </c>
      <c r="D277" s="31"/>
      <c r="E277" s="2" t="str">
        <f xml:space="preserve"> _xll.EPMOlapMemberO("[ACCOUNT].[H1].[T_EBITDAR]","","T_EBITDAR - EBITDAR","","000")</f>
        <v>T_EBITDAR - EBITDAR</v>
      </c>
      <c r="F277" s="233">
        <v>34399</v>
      </c>
      <c r="G277" s="233">
        <v>53172</v>
      </c>
      <c r="H277" s="233">
        <v>52193</v>
      </c>
      <c r="I277" s="233">
        <v>89503</v>
      </c>
      <c r="J277">
        <v>48311</v>
      </c>
      <c r="K277">
        <v>-12105</v>
      </c>
      <c r="L277">
        <v>34476</v>
      </c>
      <c r="M277">
        <v>61876</v>
      </c>
      <c r="N277">
        <v>74841</v>
      </c>
      <c r="O277">
        <v>67877</v>
      </c>
      <c r="P277">
        <v>60065</v>
      </c>
      <c r="Q277">
        <v>84342</v>
      </c>
    </row>
    <row r="278" spans="1:17" x14ac:dyDescent="0.25">
      <c r="A278" s="29" t="str">
        <f>_xll.EVPRO("Finance",$C278,"Inv_Type")</f>
        <v>Inv_Equity</v>
      </c>
      <c r="B278" s="29" t="str">
        <f t="shared" si="8"/>
        <v>SHC of McCreary County Rehab &amp; Wellness Center</v>
      </c>
      <c r="C278" s="29" t="str">
        <f t="shared" si="9"/>
        <v>S09281 - SHC of McCreary County Rehab &amp; Wellness Center</v>
      </c>
      <c r="D278" s="31"/>
      <c r="E278" s="2" t="str">
        <f xml:space="preserve"> _xll.EPMOlapMemberO("[ACCOUNT].[H1].[T_RENT_EXP]","","T_RENT_EXP - Tenant Rent Expense","","000")</f>
        <v>T_RENT_EXP - Tenant Rent Expense</v>
      </c>
      <c r="F278" s="233">
        <v>57413</v>
      </c>
      <c r="G278" s="233">
        <v>57413</v>
      </c>
      <c r="H278" s="233">
        <v>57413</v>
      </c>
      <c r="I278" s="233">
        <v>58849</v>
      </c>
      <c r="J278">
        <v>58849</v>
      </c>
      <c r="K278">
        <v>58849</v>
      </c>
      <c r="L278">
        <v>58849</v>
      </c>
      <c r="M278">
        <v>58849</v>
      </c>
      <c r="N278">
        <v>58849</v>
      </c>
      <c r="O278">
        <v>58849</v>
      </c>
      <c r="P278">
        <v>58849</v>
      </c>
      <c r="Q278">
        <v>58849</v>
      </c>
    </row>
    <row r="279" spans="1:17" x14ac:dyDescent="0.25">
      <c r="A279" s="29" t="str">
        <f>_xll.EVPRO("Finance",$C279,"Inv_Type")</f>
        <v>Inv_Equity</v>
      </c>
      <c r="B279" s="29" t="str">
        <f t="shared" si="8"/>
        <v>SHC at Colonial Rehab &amp; Wellness Center</v>
      </c>
      <c r="C279" s="29" t="str">
        <f t="shared" si="9"/>
        <v>S09282 - SHC at Colonial Rehab &amp; Wellness Center</v>
      </c>
      <c r="D279" s="31" t="str">
        <f xml:space="preserve"> _xll.EPMOlapMemberO("[ENTITY].[H1].[S09282]","","S09282 - SHC at Colonial Rehab &amp; Wellness Center","","000")</f>
        <v>S09282 - SHC at Colonial Rehab &amp; Wellness Center</v>
      </c>
      <c r="E279" s="31" t="str">
        <f xml:space="preserve"> _xll.EPMOlapMemberO("[ACCOUNT].[H1].[PAY_PAT_DAYS]","","PAY_PAT_DAYS - Total Payor Patient Days","","000")</f>
        <v>PAY_PAT_DAYS - Total Payor Patient Days</v>
      </c>
      <c r="F279" s="233">
        <v>1558</v>
      </c>
      <c r="G279" s="233">
        <v>1517</v>
      </c>
      <c r="H279" s="233">
        <v>1400</v>
      </c>
      <c r="I279" s="233">
        <v>1504</v>
      </c>
      <c r="J279">
        <v>1508</v>
      </c>
      <c r="K279">
        <v>1445</v>
      </c>
      <c r="L279">
        <v>1647</v>
      </c>
      <c r="M279">
        <v>1489</v>
      </c>
      <c r="N279">
        <v>1220</v>
      </c>
      <c r="O279">
        <v>1400</v>
      </c>
      <c r="P279">
        <v>1503</v>
      </c>
      <c r="Q279">
        <v>1472</v>
      </c>
    </row>
    <row r="280" spans="1:17" x14ac:dyDescent="0.25">
      <c r="A280" s="29" t="str">
        <f>_xll.EVPRO("Finance",$C280,"Inv_Type")</f>
        <v>Inv_Equity</v>
      </c>
      <c r="B280" s="29" t="str">
        <f t="shared" si="8"/>
        <v>SHC at Colonial Rehab &amp; Wellness Center</v>
      </c>
      <c r="C280" s="29" t="str">
        <f t="shared" si="9"/>
        <v>S09282 - SHC at Colonial Rehab &amp; Wellness Center</v>
      </c>
      <c r="D280" s="31"/>
      <c r="E280" s="2" t="str">
        <f xml:space="preserve"> _xll.EPMOlapMemberO("[ACCOUNT].[H1].[A_BEDS_TOTAL]","","A_BEDS_TOTAL - Total Available Beds","","000")</f>
        <v>A_BEDS_TOTAL - Total Available Beds</v>
      </c>
      <c r="F280" s="233">
        <v>65</v>
      </c>
      <c r="G280" s="233">
        <v>65</v>
      </c>
      <c r="H280" s="233">
        <v>65</v>
      </c>
      <c r="I280" s="233">
        <v>65</v>
      </c>
      <c r="J280">
        <v>65</v>
      </c>
      <c r="K280">
        <v>65</v>
      </c>
      <c r="L280">
        <v>65</v>
      </c>
      <c r="M280">
        <v>65</v>
      </c>
      <c r="N280">
        <v>65</v>
      </c>
      <c r="O280">
        <v>65</v>
      </c>
      <c r="P280">
        <v>65</v>
      </c>
      <c r="Q280">
        <v>65</v>
      </c>
    </row>
    <row r="281" spans="1:17" x14ac:dyDescent="0.25">
      <c r="A281" s="29" t="str">
        <f>_xll.EVPRO("Finance",$C281,"Inv_Type")</f>
        <v>Inv_Equity</v>
      </c>
      <c r="B281" s="29" t="str">
        <f t="shared" si="8"/>
        <v>SHC at Colonial Rehab &amp; Wellness Center</v>
      </c>
      <c r="C281" s="29" t="str">
        <f t="shared" si="9"/>
        <v>S09282 - SHC at Colonial Rehab &amp; Wellness Center</v>
      </c>
      <c r="D281" s="31"/>
      <c r="E281" s="15" t="str">
        <f xml:space="preserve"> _xll.EPMOlapMemberO("[ACCOUNT].[H1].[T_REVENUES]","","T_REVENUES - Total Tenant Revenues","","000")</f>
        <v>T_REVENUES - Total Tenant Revenues</v>
      </c>
      <c r="F281" s="233">
        <v>391280</v>
      </c>
      <c r="G281" s="233">
        <v>407385</v>
      </c>
      <c r="H281" s="233">
        <v>400726</v>
      </c>
      <c r="I281" s="233">
        <v>701324</v>
      </c>
      <c r="J281">
        <v>367181</v>
      </c>
      <c r="K281">
        <v>344834</v>
      </c>
      <c r="L281">
        <v>511334</v>
      </c>
      <c r="M281">
        <v>354483</v>
      </c>
      <c r="N281">
        <v>292513</v>
      </c>
      <c r="O281">
        <v>355394</v>
      </c>
      <c r="P281">
        <v>378123</v>
      </c>
      <c r="Q281">
        <v>350095</v>
      </c>
    </row>
    <row r="282" spans="1:17" x14ac:dyDescent="0.25">
      <c r="A282" s="29" t="str">
        <f>_xll.EVPRO("Finance",$C282,"Inv_Type")</f>
        <v>Inv_Equity</v>
      </c>
      <c r="B282" s="29" t="str">
        <f t="shared" si="8"/>
        <v>SHC at Colonial Rehab &amp; Wellness Center</v>
      </c>
      <c r="C282" s="29" t="str">
        <f t="shared" si="9"/>
        <v>S09282 - SHC at Colonial Rehab &amp; Wellness Center</v>
      </c>
      <c r="D282" s="31"/>
      <c r="E282" s="15" t="str">
        <f xml:space="preserve"> _xll.EPMOlapMemberO("[ACCOUNT].[H1].[T_OPEX]","","T_OPEX - Tenant Operating Expenses","","000")</f>
        <v>T_OPEX - Tenant Operating Expenses</v>
      </c>
      <c r="F282" s="233">
        <v>391873</v>
      </c>
      <c r="G282" s="233">
        <v>393521</v>
      </c>
      <c r="H282" s="233">
        <v>360734</v>
      </c>
      <c r="I282" s="233">
        <v>541316</v>
      </c>
      <c r="J282">
        <v>358857</v>
      </c>
      <c r="K282">
        <v>330305</v>
      </c>
      <c r="L282">
        <v>365172</v>
      </c>
      <c r="M282">
        <v>365178</v>
      </c>
      <c r="N282">
        <v>336994</v>
      </c>
      <c r="O282">
        <v>333366</v>
      </c>
      <c r="P282">
        <v>356050</v>
      </c>
      <c r="Q282">
        <v>332232</v>
      </c>
    </row>
    <row r="283" spans="1:17" x14ac:dyDescent="0.25">
      <c r="A283" s="29" t="str">
        <f>_xll.EVPRO("Finance",$C283,"Inv_Type")</f>
        <v>Inv_Equity</v>
      </c>
      <c r="B283" s="29" t="str">
        <f t="shared" si="8"/>
        <v>SHC at Colonial Rehab &amp; Wellness Center</v>
      </c>
      <c r="C283" s="29" t="str">
        <f t="shared" si="9"/>
        <v>S09282 - SHC at Colonial Rehab &amp; Wellness Center</v>
      </c>
      <c r="D283" s="31"/>
      <c r="E283" s="2" t="str">
        <f xml:space="preserve"> _xll.EPMOlapMemberO("[ACCOUNT].[H1].[T_NON_OP_EXP]","","T_NON_OP_EXP - Tenant Non-Operating Expense","","000")</f>
        <v>T_NON_OP_EXP - Tenant Non-Operating Expense</v>
      </c>
      <c r="F283" s="233">
        <v>9146</v>
      </c>
      <c r="G283" s="233">
        <v>9291</v>
      </c>
      <c r="H283" s="233">
        <v>9213</v>
      </c>
      <c r="I283" s="233">
        <v>7221</v>
      </c>
      <c r="J283">
        <v>7757</v>
      </c>
      <c r="K283">
        <v>7840</v>
      </c>
      <c r="L283">
        <v>7682</v>
      </c>
      <c r="M283">
        <v>8630</v>
      </c>
      <c r="N283">
        <v>7970</v>
      </c>
      <c r="O283">
        <v>8446</v>
      </c>
      <c r="P283">
        <v>8781</v>
      </c>
      <c r="Q283">
        <v>8435</v>
      </c>
    </row>
    <row r="284" spans="1:17" x14ac:dyDescent="0.25">
      <c r="A284" s="29" t="str">
        <f>_xll.EVPRO("Finance",$C284,"Inv_Type")</f>
        <v>Inv_Equity</v>
      </c>
      <c r="B284" s="29" t="str">
        <f t="shared" si="8"/>
        <v>SHC at Colonial Rehab &amp; Wellness Center</v>
      </c>
      <c r="C284" s="29" t="str">
        <f t="shared" si="9"/>
        <v>S09282 - SHC at Colonial Rehab &amp; Wellness Center</v>
      </c>
      <c r="D284" s="31"/>
      <c r="E284" s="16" t="str">
        <f xml:space="preserve"> _xll.EPMOlapMemberO("[ACCOUNT].[H1].[T_BAD_DEBT]","","T_BAD_DEBT - Tenant Bad Debt Expense","","000")</f>
        <v>T_BAD_DEBT - Tenant Bad Debt Expense</v>
      </c>
      <c r="F284" s="233">
        <v>7500</v>
      </c>
      <c r="G284" s="233">
        <v>4308</v>
      </c>
      <c r="H284" s="233"/>
      <c r="I284" s="233">
        <v>9228</v>
      </c>
      <c r="J284">
        <v>5000</v>
      </c>
      <c r="K284">
        <v>7500</v>
      </c>
      <c r="M284">
        <v>2500</v>
      </c>
      <c r="N284">
        <v>2500</v>
      </c>
      <c r="O284">
        <v>5000</v>
      </c>
    </row>
    <row r="285" spans="1:17" x14ac:dyDescent="0.25">
      <c r="A285" s="29" t="str">
        <f>_xll.EVPRO("Finance",$C285,"Inv_Type")</f>
        <v>Inv_Equity</v>
      </c>
      <c r="B285" s="29" t="str">
        <f t="shared" si="8"/>
        <v>SHC at Colonial Rehab &amp; Wellness Center</v>
      </c>
      <c r="C285" s="29" t="str">
        <f t="shared" si="9"/>
        <v>S09282 - SHC at Colonial Rehab &amp; Wellness Center</v>
      </c>
      <c r="D285" s="31"/>
      <c r="E285" s="3" t="str">
        <f xml:space="preserve"> _xll.EPMOlapMemberO("[ACCOUNT].[H1].[T_EBITDARM]","","T_EBITDARM - EBITDARM","","000")</f>
        <v>T_EBITDARM - EBITDARM</v>
      </c>
      <c r="F285" s="233">
        <v>-593</v>
      </c>
      <c r="G285" s="233">
        <v>13864</v>
      </c>
      <c r="H285" s="233">
        <v>39992</v>
      </c>
      <c r="I285" s="233">
        <v>160008</v>
      </c>
      <c r="J285">
        <v>8324</v>
      </c>
      <c r="K285">
        <v>14529</v>
      </c>
      <c r="L285">
        <v>146162</v>
      </c>
      <c r="M285">
        <v>-10695</v>
      </c>
      <c r="N285">
        <v>-44481</v>
      </c>
      <c r="O285">
        <v>22028</v>
      </c>
      <c r="P285">
        <v>22073</v>
      </c>
      <c r="Q285">
        <v>17863</v>
      </c>
    </row>
    <row r="286" spans="1:17" x14ac:dyDescent="0.25">
      <c r="A286" s="29" t="str">
        <f>_xll.EVPRO("Finance",$C286,"Inv_Type")</f>
        <v>Inv_Equity</v>
      </c>
      <c r="B286" s="29" t="str">
        <f t="shared" si="8"/>
        <v>SHC at Colonial Rehab &amp; Wellness Center</v>
      </c>
      <c r="C286" s="29" t="str">
        <f t="shared" si="9"/>
        <v>S09282 - SHC at Colonial Rehab &amp; Wellness Center</v>
      </c>
      <c r="D286" s="31"/>
      <c r="E286" s="3" t="str">
        <f xml:space="preserve"> _xll.EPMOlapMemberO("[ACCOUNT].[H1].[T_MGMT_FEE]","","T_MGMT_FEE - Tenant Management Fee - Actual","","000")</f>
        <v>T_MGMT_FEE - Tenant Management Fee - Actual</v>
      </c>
      <c r="F286" s="233">
        <v>19648</v>
      </c>
      <c r="G286" s="233">
        <v>20573</v>
      </c>
      <c r="H286" s="233">
        <v>20237</v>
      </c>
      <c r="I286" s="233">
        <v>37854</v>
      </c>
      <c r="J286">
        <v>18543</v>
      </c>
      <c r="K286">
        <v>17414</v>
      </c>
      <c r="L286">
        <v>25822</v>
      </c>
      <c r="M286">
        <v>17901</v>
      </c>
      <c r="N286">
        <v>14772</v>
      </c>
      <c r="O286">
        <v>17947</v>
      </c>
      <c r="P286">
        <v>19095</v>
      </c>
      <c r="Q286">
        <v>17680</v>
      </c>
    </row>
    <row r="287" spans="1:17" x14ac:dyDescent="0.25">
      <c r="A287" s="29" t="str">
        <f>_xll.EVPRO("Finance",$C287,"Inv_Type")</f>
        <v>Inv_Equity</v>
      </c>
      <c r="B287" s="29" t="str">
        <f t="shared" si="8"/>
        <v>SHC at Colonial Rehab &amp; Wellness Center</v>
      </c>
      <c r="C287" s="29" t="str">
        <f t="shared" si="9"/>
        <v>S09282 - SHC at Colonial Rehab &amp; Wellness Center</v>
      </c>
      <c r="D287" s="31"/>
      <c r="E287" s="2" t="str">
        <f xml:space="preserve"> _xll.EPMOlapMemberO("[ACCOUNT].[H1].[T_EBITDAR]","","T_EBITDAR - EBITDAR","","000")</f>
        <v>T_EBITDAR - EBITDAR</v>
      </c>
      <c r="F287" s="233">
        <v>-20241</v>
      </c>
      <c r="G287" s="233">
        <v>-6709</v>
      </c>
      <c r="H287" s="233">
        <v>19755</v>
      </c>
      <c r="I287" s="233">
        <v>122154</v>
      </c>
      <c r="J287">
        <v>-10219</v>
      </c>
      <c r="K287">
        <v>-2885</v>
      </c>
      <c r="L287">
        <v>120340</v>
      </c>
      <c r="M287">
        <v>-28596</v>
      </c>
      <c r="N287">
        <v>-59253</v>
      </c>
      <c r="O287">
        <v>4081</v>
      </c>
      <c r="P287">
        <v>2978</v>
      </c>
      <c r="Q287">
        <v>183</v>
      </c>
    </row>
    <row r="288" spans="1:17" x14ac:dyDescent="0.25">
      <c r="A288" s="29" t="str">
        <f>_xll.EVPRO("Finance",$C288,"Inv_Type")</f>
        <v>Inv_Equity</v>
      </c>
      <c r="B288" s="29" t="str">
        <f t="shared" si="8"/>
        <v>SHC at Colonial Rehab &amp; Wellness Center</v>
      </c>
      <c r="C288" s="29" t="str">
        <f t="shared" si="9"/>
        <v>S09282 - SHC at Colonial Rehab &amp; Wellness Center</v>
      </c>
      <c r="D288" s="31"/>
      <c r="E288" s="2" t="str">
        <f xml:space="preserve"> _xll.EPMOlapMemberO("[ACCOUNT].[H1].[T_RENT_EXP]","","T_RENT_EXP - Tenant Rent Expense","","000")</f>
        <v>T_RENT_EXP - Tenant Rent Expense</v>
      </c>
      <c r="F288" s="233">
        <v>43768</v>
      </c>
      <c r="G288" s="233">
        <v>43768</v>
      </c>
      <c r="H288" s="233">
        <v>43768</v>
      </c>
      <c r="I288" s="233">
        <v>44862</v>
      </c>
      <c r="J288">
        <v>44862</v>
      </c>
      <c r="K288">
        <v>44862</v>
      </c>
      <c r="L288">
        <v>44862</v>
      </c>
      <c r="M288">
        <v>44862</v>
      </c>
      <c r="N288">
        <v>44862</v>
      </c>
      <c r="O288">
        <v>44862</v>
      </c>
      <c r="P288">
        <v>44862</v>
      </c>
      <c r="Q288">
        <v>44862</v>
      </c>
    </row>
    <row r="289" spans="1:17" x14ac:dyDescent="0.25">
      <c r="A289" s="29" t="str">
        <f>_xll.EVPRO("Finance",$C289,"Inv_Type")</f>
        <v>Inv_Equity</v>
      </c>
      <c r="B289" s="29" t="str">
        <f t="shared" si="8"/>
        <v>SHC of Glasgow Rehab &amp; Wellness Center</v>
      </c>
      <c r="C289" s="29" t="str">
        <f t="shared" si="9"/>
        <v>S09283 - SHC of Glasgow Rehab &amp; Wellness Center</v>
      </c>
      <c r="D289" s="31" t="str">
        <f xml:space="preserve"> _xll.EPMOlapMemberO("[ENTITY].[H1].[S09283]","","S09283 - SHC of Glasgow Rehab &amp; Wellness Center","","000")</f>
        <v>S09283 - SHC of Glasgow Rehab &amp; Wellness Center</v>
      </c>
      <c r="E289" s="31" t="str">
        <f xml:space="preserve"> _xll.EPMOlapMemberO("[ACCOUNT].[H1].[PAY_PAT_DAYS]","","PAY_PAT_DAYS - Total Payor Patient Days","","000")</f>
        <v>PAY_PAT_DAYS - Total Payor Patient Days</v>
      </c>
      <c r="F289" s="233">
        <v>1862</v>
      </c>
      <c r="G289" s="233">
        <v>1825</v>
      </c>
      <c r="H289" s="233">
        <v>1606</v>
      </c>
      <c r="I289" s="233">
        <v>1539</v>
      </c>
      <c r="J289">
        <v>1612</v>
      </c>
      <c r="K289">
        <v>1477</v>
      </c>
      <c r="L289">
        <v>1663</v>
      </c>
      <c r="M289">
        <v>1624</v>
      </c>
      <c r="N289">
        <v>1767</v>
      </c>
      <c r="O289">
        <v>1851</v>
      </c>
      <c r="P289">
        <v>1941</v>
      </c>
      <c r="Q289">
        <v>1936</v>
      </c>
    </row>
    <row r="290" spans="1:17" x14ac:dyDescent="0.25">
      <c r="A290" s="29" t="str">
        <f>_xll.EVPRO("Finance",$C290,"Inv_Type")</f>
        <v>Inv_Equity</v>
      </c>
      <c r="B290" s="29" t="str">
        <f t="shared" si="8"/>
        <v>SHC of Glasgow Rehab &amp; Wellness Center</v>
      </c>
      <c r="C290" s="29" t="str">
        <f t="shared" si="9"/>
        <v>S09283 - SHC of Glasgow Rehab &amp; Wellness Center</v>
      </c>
      <c r="D290" s="31"/>
      <c r="E290" s="2" t="str">
        <f xml:space="preserve"> _xll.EPMOlapMemberO("[ACCOUNT].[H1].[A_BEDS_TOTAL]","","A_BEDS_TOTAL - Total Available Beds","","000")</f>
        <v>A_BEDS_TOTAL - Total Available Beds</v>
      </c>
      <c r="F290" s="233">
        <v>68</v>
      </c>
      <c r="G290" s="233">
        <v>68</v>
      </c>
      <c r="H290" s="233">
        <v>68</v>
      </c>
      <c r="I290" s="233">
        <v>68</v>
      </c>
      <c r="J290">
        <v>68</v>
      </c>
      <c r="K290">
        <v>68</v>
      </c>
      <c r="L290">
        <v>68</v>
      </c>
      <c r="M290">
        <v>68</v>
      </c>
      <c r="N290">
        <v>68</v>
      </c>
      <c r="O290">
        <v>68</v>
      </c>
      <c r="P290">
        <v>68</v>
      </c>
      <c r="Q290">
        <v>68</v>
      </c>
    </row>
    <row r="291" spans="1:17" x14ac:dyDescent="0.25">
      <c r="A291" s="29" t="str">
        <f>_xll.EVPRO("Finance",$C291,"Inv_Type")</f>
        <v>Inv_Equity</v>
      </c>
      <c r="B291" s="29" t="str">
        <f t="shared" si="8"/>
        <v>SHC of Glasgow Rehab &amp; Wellness Center</v>
      </c>
      <c r="C291" s="29" t="str">
        <f t="shared" si="9"/>
        <v>S09283 - SHC of Glasgow Rehab &amp; Wellness Center</v>
      </c>
      <c r="D291" s="31"/>
      <c r="E291" s="15" t="str">
        <f xml:space="preserve"> _xll.EPMOlapMemberO("[ACCOUNT].[H1].[T_REVENUES]","","T_REVENUES - Total Tenant Revenues","","000")</f>
        <v>T_REVENUES - Total Tenant Revenues</v>
      </c>
      <c r="F291" s="233">
        <v>479865</v>
      </c>
      <c r="G291" s="233">
        <v>533683</v>
      </c>
      <c r="H291" s="233">
        <v>661821</v>
      </c>
      <c r="I291" s="233">
        <v>517591</v>
      </c>
      <c r="J291">
        <v>487449</v>
      </c>
      <c r="K291">
        <v>376111</v>
      </c>
      <c r="L291">
        <v>523530</v>
      </c>
      <c r="M291">
        <v>440628</v>
      </c>
      <c r="N291">
        <v>477597</v>
      </c>
      <c r="O291">
        <v>519509</v>
      </c>
      <c r="P291">
        <v>527001</v>
      </c>
      <c r="Q291">
        <v>521112</v>
      </c>
    </row>
    <row r="292" spans="1:17" x14ac:dyDescent="0.25">
      <c r="A292" s="29" t="str">
        <f>_xll.EVPRO("Finance",$C292,"Inv_Type")</f>
        <v>Inv_Equity</v>
      </c>
      <c r="B292" s="29" t="str">
        <f t="shared" si="8"/>
        <v>SHC of Glasgow Rehab &amp; Wellness Center</v>
      </c>
      <c r="C292" s="29" t="str">
        <f t="shared" si="9"/>
        <v>S09283 - SHC of Glasgow Rehab &amp; Wellness Center</v>
      </c>
      <c r="D292" s="31"/>
      <c r="E292" s="15" t="str">
        <f xml:space="preserve"> _xll.EPMOlapMemberO("[ACCOUNT].[H1].[T_OPEX]","","T_OPEX - Tenant Operating Expenses","","000")</f>
        <v>T_OPEX - Tenant Operating Expenses</v>
      </c>
      <c r="F292" s="233">
        <v>426890</v>
      </c>
      <c r="G292" s="233">
        <v>426382</v>
      </c>
      <c r="H292" s="233">
        <v>481665</v>
      </c>
      <c r="I292" s="233">
        <v>617692</v>
      </c>
      <c r="J292">
        <v>419743</v>
      </c>
      <c r="K292">
        <v>356768</v>
      </c>
      <c r="L292">
        <v>387750</v>
      </c>
      <c r="M292">
        <v>354058</v>
      </c>
      <c r="N292">
        <v>370990</v>
      </c>
      <c r="O292">
        <v>381413</v>
      </c>
      <c r="P292">
        <v>373742</v>
      </c>
      <c r="Q292">
        <v>428163</v>
      </c>
    </row>
    <row r="293" spans="1:17" x14ac:dyDescent="0.25">
      <c r="A293" s="29" t="str">
        <f>_xll.EVPRO("Finance",$C293,"Inv_Type")</f>
        <v>Inv_Equity</v>
      </c>
      <c r="B293" s="29" t="str">
        <f t="shared" si="8"/>
        <v>SHC of Glasgow Rehab &amp; Wellness Center</v>
      </c>
      <c r="C293" s="29" t="str">
        <f t="shared" si="9"/>
        <v>S09283 - SHC of Glasgow Rehab &amp; Wellness Center</v>
      </c>
      <c r="D293" s="31"/>
      <c r="E293" s="2" t="str">
        <f xml:space="preserve"> _xll.EPMOlapMemberO("[ACCOUNT].[H1].[T_NON_OP_EXP]","","T_NON_OP_EXP - Tenant Non-Operating Expense","","000")</f>
        <v>T_NON_OP_EXP - Tenant Non-Operating Expense</v>
      </c>
      <c r="F293" s="233">
        <v>7431</v>
      </c>
      <c r="G293" s="233">
        <v>7961</v>
      </c>
      <c r="H293" s="233">
        <v>7787</v>
      </c>
      <c r="I293" s="233">
        <v>7360</v>
      </c>
      <c r="J293">
        <v>7867</v>
      </c>
      <c r="K293">
        <v>7898</v>
      </c>
      <c r="L293">
        <v>7380</v>
      </c>
      <c r="M293">
        <v>8532</v>
      </c>
      <c r="N293">
        <v>7870</v>
      </c>
      <c r="O293">
        <v>8635</v>
      </c>
      <c r="P293">
        <v>9263</v>
      </c>
      <c r="Q293">
        <v>8990</v>
      </c>
    </row>
    <row r="294" spans="1:17" x14ac:dyDescent="0.25">
      <c r="A294" s="29" t="str">
        <f>_xll.EVPRO("Finance",$C294,"Inv_Type")</f>
        <v>Inv_Equity</v>
      </c>
      <c r="B294" s="29" t="str">
        <f t="shared" si="8"/>
        <v>SHC of Glasgow Rehab &amp; Wellness Center</v>
      </c>
      <c r="C294" s="29" t="str">
        <f t="shared" si="9"/>
        <v>S09283 - SHC of Glasgow Rehab &amp; Wellness Center</v>
      </c>
      <c r="D294" s="31"/>
      <c r="E294" s="16" t="str">
        <f xml:space="preserve"> _xll.EPMOlapMemberO("[ACCOUNT].[H1].[T_BAD_DEBT]","","T_BAD_DEBT - Tenant Bad Debt Expense","","000")</f>
        <v>T_BAD_DEBT - Tenant Bad Debt Expense</v>
      </c>
      <c r="F294" s="233">
        <v>7500</v>
      </c>
      <c r="G294" s="233">
        <v>8487</v>
      </c>
      <c r="H294" s="233">
        <v>10000</v>
      </c>
      <c r="I294" s="233">
        <v>29193</v>
      </c>
      <c r="J294">
        <v>12500</v>
      </c>
      <c r="K294">
        <v>10000</v>
      </c>
      <c r="O294">
        <v>5000</v>
      </c>
    </row>
    <row r="295" spans="1:17" x14ac:dyDescent="0.25">
      <c r="A295" s="29" t="str">
        <f>_xll.EVPRO("Finance",$C295,"Inv_Type")</f>
        <v>Inv_Equity</v>
      </c>
      <c r="B295" s="29" t="str">
        <f t="shared" si="8"/>
        <v>SHC of Glasgow Rehab &amp; Wellness Center</v>
      </c>
      <c r="C295" s="29" t="str">
        <f t="shared" si="9"/>
        <v>S09283 - SHC of Glasgow Rehab &amp; Wellness Center</v>
      </c>
      <c r="D295" s="31"/>
      <c r="E295" s="3" t="str">
        <f xml:space="preserve"> _xll.EPMOlapMemberO("[ACCOUNT].[H1].[T_EBITDARM]","","T_EBITDARM - EBITDARM","","000")</f>
        <v>T_EBITDARM - EBITDARM</v>
      </c>
      <c r="F295" s="233">
        <v>52975</v>
      </c>
      <c r="G295" s="233">
        <v>107301</v>
      </c>
      <c r="H295" s="233">
        <v>180156</v>
      </c>
      <c r="I295" s="233">
        <v>-100101</v>
      </c>
      <c r="J295">
        <v>67706</v>
      </c>
      <c r="K295">
        <v>19343</v>
      </c>
      <c r="L295">
        <v>135780</v>
      </c>
      <c r="M295">
        <v>86570</v>
      </c>
      <c r="N295">
        <v>106607</v>
      </c>
      <c r="O295">
        <v>138096</v>
      </c>
      <c r="P295">
        <v>153259</v>
      </c>
      <c r="Q295">
        <v>92949</v>
      </c>
    </row>
    <row r="296" spans="1:17" x14ac:dyDescent="0.25">
      <c r="A296" s="29" t="str">
        <f>_xll.EVPRO("Finance",$C296,"Inv_Type")</f>
        <v>Inv_Equity</v>
      </c>
      <c r="B296" s="29" t="str">
        <f t="shared" si="8"/>
        <v>SHC of Glasgow Rehab &amp; Wellness Center</v>
      </c>
      <c r="C296" s="29" t="str">
        <f t="shared" si="9"/>
        <v>S09283 - SHC of Glasgow Rehab &amp; Wellness Center</v>
      </c>
      <c r="D296" s="31"/>
      <c r="E296" s="3" t="str">
        <f xml:space="preserve"> _xll.EPMOlapMemberO("[ACCOUNT].[H1].[T_MGMT_FEE]","","T_MGMT_FEE - Tenant Management Fee - Actual","","000")</f>
        <v>T_MGMT_FEE - Tenant Management Fee - Actual</v>
      </c>
      <c r="F296" s="233">
        <v>24219</v>
      </c>
      <c r="G296" s="233">
        <v>26951</v>
      </c>
      <c r="H296" s="233">
        <v>33422</v>
      </c>
      <c r="I296" s="233">
        <v>21218</v>
      </c>
      <c r="J296">
        <v>24616</v>
      </c>
      <c r="K296">
        <v>18994</v>
      </c>
      <c r="L296">
        <v>26438</v>
      </c>
      <c r="M296">
        <v>22252</v>
      </c>
      <c r="N296">
        <v>24119</v>
      </c>
      <c r="O296">
        <v>26235</v>
      </c>
      <c r="P296">
        <v>26614</v>
      </c>
      <c r="Q296">
        <v>26316</v>
      </c>
    </row>
    <row r="297" spans="1:17" x14ac:dyDescent="0.25">
      <c r="A297" s="29" t="str">
        <f>_xll.EVPRO("Finance",$C297,"Inv_Type")</f>
        <v>Inv_Equity</v>
      </c>
      <c r="B297" s="29" t="str">
        <f t="shared" si="8"/>
        <v>SHC of Glasgow Rehab &amp; Wellness Center</v>
      </c>
      <c r="C297" s="29" t="str">
        <f t="shared" si="9"/>
        <v>S09283 - SHC of Glasgow Rehab &amp; Wellness Center</v>
      </c>
      <c r="D297" s="31"/>
      <c r="E297" s="2" t="str">
        <f xml:space="preserve"> _xll.EPMOlapMemberO("[ACCOUNT].[H1].[T_EBITDAR]","","T_EBITDAR - EBITDAR","","000")</f>
        <v>T_EBITDAR - EBITDAR</v>
      </c>
      <c r="F297" s="233">
        <v>28756</v>
      </c>
      <c r="G297" s="233">
        <v>80350</v>
      </c>
      <c r="H297" s="233">
        <v>146734</v>
      </c>
      <c r="I297" s="233">
        <v>-121319</v>
      </c>
      <c r="J297">
        <v>43090</v>
      </c>
      <c r="K297">
        <v>349</v>
      </c>
      <c r="L297">
        <v>109342</v>
      </c>
      <c r="M297">
        <v>64318</v>
      </c>
      <c r="N297">
        <v>82488</v>
      </c>
      <c r="O297">
        <v>111861</v>
      </c>
      <c r="P297">
        <v>126645</v>
      </c>
      <c r="Q297">
        <v>66633</v>
      </c>
    </row>
    <row r="298" spans="1:17" x14ac:dyDescent="0.25">
      <c r="A298" s="29" t="str">
        <f>_xll.EVPRO("Finance",$C298,"Inv_Type")</f>
        <v>Inv_Equity</v>
      </c>
      <c r="B298" s="29" t="str">
        <f t="shared" si="8"/>
        <v>SHC of Glasgow Rehab &amp; Wellness Center</v>
      </c>
      <c r="C298" s="29" t="str">
        <f t="shared" si="9"/>
        <v>S09283 - SHC of Glasgow Rehab &amp; Wellness Center</v>
      </c>
      <c r="D298" s="31"/>
      <c r="E298" s="2" t="str">
        <f xml:space="preserve"> _xll.EPMOlapMemberO("[ACCOUNT].[H1].[T_RENT_EXP]","","T_RENT_EXP - Tenant Rent Expense","","000")</f>
        <v>T_RENT_EXP - Tenant Rent Expense</v>
      </c>
      <c r="F298" s="233">
        <v>5253</v>
      </c>
      <c r="G298" s="233">
        <v>5253</v>
      </c>
      <c r="H298" s="233">
        <v>5253</v>
      </c>
      <c r="I298" s="233">
        <v>5384</v>
      </c>
      <c r="J298">
        <v>5384</v>
      </c>
      <c r="K298">
        <v>5384</v>
      </c>
      <c r="L298">
        <v>5384</v>
      </c>
      <c r="M298">
        <v>5384</v>
      </c>
      <c r="N298">
        <v>5384</v>
      </c>
      <c r="O298">
        <v>5384</v>
      </c>
      <c r="P298">
        <v>5384</v>
      </c>
      <c r="Q298">
        <v>5384</v>
      </c>
    </row>
    <row r="299" spans="1:17" x14ac:dyDescent="0.25">
      <c r="A299" s="29" t="str">
        <f>_xll.EVPRO("Finance",$C299,"Inv_Type")</f>
        <v>Inv_Equity</v>
      </c>
      <c r="B299" s="29" t="str">
        <f t="shared" si="8"/>
        <v>SHC of Carrollton Rehab &amp; Wellness Center</v>
      </c>
      <c r="C299" s="29" t="str">
        <f t="shared" si="9"/>
        <v>S09284 - SHC of Carrollton Rehab &amp; Wellness Center</v>
      </c>
      <c r="D299" s="31" t="str">
        <f xml:space="preserve"> _xll.EPMOlapMemberO("[ENTITY].[H1].[S09284]","","S09284 - SHC of Carrollton Rehab &amp; Wellness Center","","000")</f>
        <v>S09284 - SHC of Carrollton Rehab &amp; Wellness Center</v>
      </c>
      <c r="E299" s="31" t="str">
        <f xml:space="preserve"> _xll.EPMOlapMemberO("[ACCOUNT].[H1].[PAY_PAT_DAYS]","","PAY_PAT_DAYS - Total Payor Patient Days","","000")</f>
        <v>PAY_PAT_DAYS - Total Payor Patient Days</v>
      </c>
      <c r="F299" s="233">
        <v>1685</v>
      </c>
      <c r="G299" s="233">
        <v>1852</v>
      </c>
      <c r="H299" s="233">
        <v>1801</v>
      </c>
      <c r="I299" s="233">
        <v>1962</v>
      </c>
      <c r="J299">
        <v>1979</v>
      </c>
      <c r="K299">
        <v>1803</v>
      </c>
      <c r="L299">
        <v>1978</v>
      </c>
      <c r="M299">
        <v>2078</v>
      </c>
      <c r="N299">
        <v>2172</v>
      </c>
      <c r="O299">
        <v>2008</v>
      </c>
      <c r="P299">
        <v>2191</v>
      </c>
      <c r="Q299">
        <v>2121</v>
      </c>
    </row>
    <row r="300" spans="1:17" x14ac:dyDescent="0.25">
      <c r="A300" s="29" t="str">
        <f>_xll.EVPRO("Finance",$C300,"Inv_Type")</f>
        <v>Inv_Equity</v>
      </c>
      <c r="B300" s="29" t="str">
        <f t="shared" si="8"/>
        <v>SHC of Carrollton Rehab &amp; Wellness Center</v>
      </c>
      <c r="C300" s="29" t="str">
        <f t="shared" si="9"/>
        <v>S09284 - SHC of Carrollton Rehab &amp; Wellness Center</v>
      </c>
      <c r="D300" s="31"/>
      <c r="E300" s="2" t="str">
        <f xml:space="preserve"> _xll.EPMOlapMemberO("[ACCOUNT].[H1].[A_BEDS_TOTAL]","","A_BEDS_TOTAL - Total Available Beds","","000")</f>
        <v>A_BEDS_TOTAL - Total Available Beds</v>
      </c>
      <c r="F300" s="233">
        <v>78</v>
      </c>
      <c r="G300" s="233">
        <v>78</v>
      </c>
      <c r="H300" s="233">
        <v>78</v>
      </c>
      <c r="I300" s="233">
        <v>78</v>
      </c>
      <c r="J300">
        <v>78</v>
      </c>
      <c r="K300">
        <v>78</v>
      </c>
      <c r="L300">
        <v>78</v>
      </c>
      <c r="M300">
        <v>78</v>
      </c>
      <c r="N300">
        <v>78</v>
      </c>
      <c r="O300">
        <v>78</v>
      </c>
      <c r="P300">
        <v>78</v>
      </c>
      <c r="Q300">
        <v>78</v>
      </c>
    </row>
    <row r="301" spans="1:17" x14ac:dyDescent="0.25">
      <c r="A301" s="29" t="str">
        <f>_xll.EVPRO("Finance",$C301,"Inv_Type")</f>
        <v>Inv_Equity</v>
      </c>
      <c r="B301" s="29" t="str">
        <f t="shared" si="8"/>
        <v>SHC of Carrollton Rehab &amp; Wellness Center</v>
      </c>
      <c r="C301" s="29" t="str">
        <f t="shared" si="9"/>
        <v>S09284 - SHC of Carrollton Rehab &amp; Wellness Center</v>
      </c>
      <c r="D301" s="31"/>
      <c r="E301" s="15" t="str">
        <f xml:space="preserve"> _xll.EPMOlapMemberO("[ACCOUNT].[H1].[T_REVENUES]","","T_REVENUES - Total Tenant Revenues","","000")</f>
        <v>T_REVENUES - Total Tenant Revenues</v>
      </c>
      <c r="F301" s="233">
        <v>466326</v>
      </c>
      <c r="G301" s="233">
        <v>486169</v>
      </c>
      <c r="H301" s="233">
        <v>478958</v>
      </c>
      <c r="I301" s="233">
        <v>774707</v>
      </c>
      <c r="J301">
        <v>541987</v>
      </c>
      <c r="K301">
        <v>450099</v>
      </c>
      <c r="L301">
        <v>572593</v>
      </c>
      <c r="M301">
        <v>546977</v>
      </c>
      <c r="N301">
        <v>587397</v>
      </c>
      <c r="O301">
        <v>517743</v>
      </c>
      <c r="P301">
        <v>538388</v>
      </c>
      <c r="Q301">
        <v>523560</v>
      </c>
    </row>
    <row r="302" spans="1:17" x14ac:dyDescent="0.25">
      <c r="A302" s="29" t="str">
        <f>_xll.EVPRO("Finance",$C302,"Inv_Type")</f>
        <v>Inv_Equity</v>
      </c>
      <c r="B302" s="29" t="str">
        <f t="shared" si="8"/>
        <v>SHC of Carrollton Rehab &amp; Wellness Center</v>
      </c>
      <c r="C302" s="29" t="str">
        <f t="shared" si="9"/>
        <v>S09284 - SHC of Carrollton Rehab &amp; Wellness Center</v>
      </c>
      <c r="D302" s="31"/>
      <c r="E302" s="15" t="str">
        <f xml:space="preserve"> _xll.EPMOlapMemberO("[ACCOUNT].[H1].[T_OPEX]","","T_OPEX - Tenant Operating Expenses","","000")</f>
        <v>T_OPEX - Tenant Operating Expenses</v>
      </c>
      <c r="F302" s="233">
        <v>465413</v>
      </c>
      <c r="G302" s="233">
        <v>436531</v>
      </c>
      <c r="H302" s="233">
        <v>446220</v>
      </c>
      <c r="I302" s="233">
        <v>665620</v>
      </c>
      <c r="J302">
        <v>526299</v>
      </c>
      <c r="K302">
        <v>455133</v>
      </c>
      <c r="L302">
        <v>484073</v>
      </c>
      <c r="M302">
        <v>538111</v>
      </c>
      <c r="N302">
        <v>557468</v>
      </c>
      <c r="O302">
        <v>550110</v>
      </c>
      <c r="P302">
        <v>517440</v>
      </c>
      <c r="Q302">
        <v>514330</v>
      </c>
    </row>
    <row r="303" spans="1:17" x14ac:dyDescent="0.25">
      <c r="A303" s="29" t="str">
        <f>_xll.EVPRO("Finance",$C303,"Inv_Type")</f>
        <v>Inv_Equity</v>
      </c>
      <c r="B303" s="29" t="str">
        <f t="shared" si="8"/>
        <v>SHC of Carrollton Rehab &amp; Wellness Center</v>
      </c>
      <c r="C303" s="29" t="str">
        <f t="shared" si="9"/>
        <v>S09284 - SHC of Carrollton Rehab &amp; Wellness Center</v>
      </c>
      <c r="D303" s="31"/>
      <c r="E303" s="2" t="str">
        <f xml:space="preserve"> _xll.EPMOlapMemberO("[ACCOUNT].[H1].[T_NON_OP_EXP]","","T_NON_OP_EXP - Tenant Non-Operating Expense","","000")</f>
        <v>T_NON_OP_EXP - Tenant Non-Operating Expense</v>
      </c>
      <c r="F303" s="233">
        <v>8002</v>
      </c>
      <c r="G303" s="233">
        <v>8443</v>
      </c>
      <c r="H303" s="233">
        <v>8220</v>
      </c>
      <c r="I303" s="233">
        <v>7667</v>
      </c>
      <c r="J303">
        <v>8386</v>
      </c>
      <c r="K303">
        <v>8702</v>
      </c>
      <c r="L303">
        <v>8420</v>
      </c>
      <c r="M303">
        <v>9849</v>
      </c>
      <c r="N303">
        <v>9039</v>
      </c>
      <c r="O303">
        <v>9872</v>
      </c>
      <c r="P303">
        <v>10208</v>
      </c>
      <c r="Q303">
        <v>9888</v>
      </c>
    </row>
    <row r="304" spans="1:17" x14ac:dyDescent="0.25">
      <c r="A304" s="29" t="str">
        <f>_xll.EVPRO("Finance",$C304,"Inv_Type")</f>
        <v>Inv_Equity</v>
      </c>
      <c r="B304" s="29" t="str">
        <f t="shared" si="8"/>
        <v>SHC of Carrollton Rehab &amp; Wellness Center</v>
      </c>
      <c r="C304" s="29" t="str">
        <f t="shared" si="9"/>
        <v>S09284 - SHC of Carrollton Rehab &amp; Wellness Center</v>
      </c>
      <c r="D304" s="31"/>
      <c r="E304" s="16" t="str">
        <f xml:space="preserve"> _xll.EPMOlapMemberO("[ACCOUNT].[H1].[T_BAD_DEBT]","","T_BAD_DEBT - Tenant Bad Debt Expense","","000")</f>
        <v>T_BAD_DEBT - Tenant Bad Debt Expense</v>
      </c>
      <c r="F304" s="233">
        <v>12500</v>
      </c>
      <c r="G304" s="233">
        <v>6250</v>
      </c>
      <c r="H304" s="233">
        <v>-5000</v>
      </c>
      <c r="I304" s="233">
        <v>6835</v>
      </c>
      <c r="J304">
        <v>9000</v>
      </c>
      <c r="K304">
        <v>10000</v>
      </c>
      <c r="Q304">
        <v>5000</v>
      </c>
    </row>
    <row r="305" spans="1:17" x14ac:dyDescent="0.25">
      <c r="A305" s="29" t="str">
        <f>_xll.EVPRO("Finance",$C305,"Inv_Type")</f>
        <v>Inv_Equity</v>
      </c>
      <c r="B305" s="29" t="str">
        <f t="shared" si="8"/>
        <v>SHC of Carrollton Rehab &amp; Wellness Center</v>
      </c>
      <c r="C305" s="29" t="str">
        <f t="shared" si="9"/>
        <v>S09284 - SHC of Carrollton Rehab &amp; Wellness Center</v>
      </c>
      <c r="D305" s="31"/>
      <c r="E305" s="3" t="str">
        <f xml:space="preserve"> _xll.EPMOlapMemberO("[ACCOUNT].[H1].[T_EBITDARM]","","T_EBITDARM - EBITDARM","","000")</f>
        <v>T_EBITDARM - EBITDARM</v>
      </c>
      <c r="F305" s="233">
        <v>913</v>
      </c>
      <c r="G305" s="233">
        <v>49638</v>
      </c>
      <c r="H305" s="233">
        <v>32738</v>
      </c>
      <c r="I305" s="233">
        <v>109087</v>
      </c>
      <c r="J305">
        <v>15688</v>
      </c>
      <c r="K305">
        <v>-5034</v>
      </c>
      <c r="L305">
        <v>88520</v>
      </c>
      <c r="M305">
        <v>8866</v>
      </c>
      <c r="N305">
        <v>29929</v>
      </c>
      <c r="O305">
        <v>-32367</v>
      </c>
      <c r="P305">
        <v>20948</v>
      </c>
      <c r="Q305">
        <v>9230</v>
      </c>
    </row>
    <row r="306" spans="1:17" x14ac:dyDescent="0.25">
      <c r="A306" s="29" t="str">
        <f>_xll.EVPRO("Finance",$C306,"Inv_Type")</f>
        <v>Inv_Equity</v>
      </c>
      <c r="B306" s="29" t="str">
        <f t="shared" si="8"/>
        <v>SHC of Carrollton Rehab &amp; Wellness Center</v>
      </c>
      <c r="C306" s="29" t="str">
        <f t="shared" si="9"/>
        <v>S09284 - SHC of Carrollton Rehab &amp; Wellness Center</v>
      </c>
      <c r="D306" s="31"/>
      <c r="E306" s="3" t="str">
        <f xml:space="preserve"> _xll.EPMOlapMemberO("[ACCOUNT].[H1].[T_MGMT_FEE]","","T_MGMT_FEE - Tenant Management Fee - Actual","","000")</f>
        <v>T_MGMT_FEE - Tenant Management Fee - Actual</v>
      </c>
      <c r="F306" s="233">
        <v>23329</v>
      </c>
      <c r="G306" s="233">
        <v>24552</v>
      </c>
      <c r="H306" s="233">
        <v>24187</v>
      </c>
      <c r="I306" s="233">
        <v>40347</v>
      </c>
      <c r="J306">
        <v>27370</v>
      </c>
      <c r="K306">
        <v>22730</v>
      </c>
      <c r="L306">
        <v>28916</v>
      </c>
      <c r="M306">
        <v>27622</v>
      </c>
      <c r="N306">
        <v>29664</v>
      </c>
      <c r="O306">
        <v>26146</v>
      </c>
      <c r="P306">
        <v>27189</v>
      </c>
      <c r="Q306">
        <v>26440</v>
      </c>
    </row>
    <row r="307" spans="1:17" x14ac:dyDescent="0.25">
      <c r="A307" s="29" t="str">
        <f>_xll.EVPRO("Finance",$C307,"Inv_Type")</f>
        <v>Inv_Equity</v>
      </c>
      <c r="B307" s="29" t="str">
        <f t="shared" si="8"/>
        <v>SHC of Carrollton Rehab &amp; Wellness Center</v>
      </c>
      <c r="C307" s="29" t="str">
        <f t="shared" si="9"/>
        <v>S09284 - SHC of Carrollton Rehab &amp; Wellness Center</v>
      </c>
      <c r="D307" s="31"/>
      <c r="E307" s="2" t="str">
        <f xml:space="preserve"> _xll.EPMOlapMemberO("[ACCOUNT].[H1].[T_EBITDAR]","","T_EBITDAR - EBITDAR","","000")</f>
        <v>T_EBITDAR - EBITDAR</v>
      </c>
      <c r="F307" s="233">
        <v>-22416</v>
      </c>
      <c r="G307" s="233">
        <v>25086</v>
      </c>
      <c r="H307" s="233">
        <v>8551</v>
      </c>
      <c r="I307" s="233">
        <v>68740</v>
      </c>
      <c r="J307">
        <v>-11682</v>
      </c>
      <c r="K307">
        <v>-27764</v>
      </c>
      <c r="L307">
        <v>59604</v>
      </c>
      <c r="M307">
        <v>-18756</v>
      </c>
      <c r="N307">
        <v>265</v>
      </c>
      <c r="O307">
        <v>-58513</v>
      </c>
      <c r="P307">
        <v>-6241</v>
      </c>
      <c r="Q307">
        <v>-17210</v>
      </c>
    </row>
    <row r="308" spans="1:17" x14ac:dyDescent="0.25">
      <c r="A308" s="29" t="str">
        <f>_xll.EVPRO("Finance",$C308,"Inv_Type")</f>
        <v>Inv_Equity</v>
      </c>
      <c r="B308" s="29" t="str">
        <f t="shared" si="8"/>
        <v>SHC of Carrollton Rehab &amp; Wellness Center</v>
      </c>
      <c r="C308" s="29" t="str">
        <f t="shared" si="9"/>
        <v>S09284 - SHC of Carrollton Rehab &amp; Wellness Center</v>
      </c>
      <c r="D308" s="31"/>
      <c r="E308" s="2" t="str">
        <f xml:space="preserve"> _xll.EPMOlapMemberO("[ACCOUNT].[H1].[T_RENT_EXP]","","T_RENT_EXP - Tenant Rent Expense","","000")</f>
        <v>T_RENT_EXP - Tenant Rent Expense</v>
      </c>
      <c r="F308" s="233">
        <v>5253</v>
      </c>
      <c r="G308" s="233">
        <v>5253</v>
      </c>
      <c r="H308" s="233">
        <v>5253</v>
      </c>
      <c r="I308" s="233">
        <v>5384</v>
      </c>
      <c r="J308">
        <v>5384</v>
      </c>
      <c r="K308">
        <v>5384</v>
      </c>
      <c r="L308">
        <v>5384</v>
      </c>
      <c r="M308">
        <v>5384</v>
      </c>
      <c r="N308">
        <v>5384</v>
      </c>
      <c r="O308">
        <v>5384</v>
      </c>
      <c r="P308">
        <v>5384</v>
      </c>
      <c r="Q308">
        <v>5384</v>
      </c>
    </row>
    <row r="309" spans="1:17" x14ac:dyDescent="0.25">
      <c r="A309" s="29" t="str">
        <f>_xll.EVPRO("Finance",$C309,"Inv_Type")</f>
        <v>Inv_Equity</v>
      </c>
      <c r="B309" s="29" t="str">
        <f t="shared" si="8"/>
        <v>SHC of Hart County Rehab &amp; Wellness Center</v>
      </c>
      <c r="C309" s="29" t="str">
        <f t="shared" si="9"/>
        <v>S09285 - SHC of Hart County Rehab &amp; Wellness Center</v>
      </c>
      <c r="D309" s="31" t="str">
        <f xml:space="preserve"> _xll.EPMOlapMemberO("[ENTITY].[H1].[S09285]","","S09285 - SHC of Hart County Rehab &amp; Wellness Center","","000")</f>
        <v>S09285 - SHC of Hart County Rehab &amp; Wellness Center</v>
      </c>
      <c r="E309" s="31" t="str">
        <f xml:space="preserve"> _xll.EPMOlapMemberO("[ACCOUNT].[H1].[PAY_PAT_DAYS]","","PAY_PAT_DAYS - Total Payor Patient Days","","000")</f>
        <v>PAY_PAT_DAYS - Total Payor Patient Days</v>
      </c>
      <c r="F309" s="233">
        <v>2603</v>
      </c>
      <c r="G309" s="233">
        <v>2614</v>
      </c>
      <c r="H309" s="233">
        <v>2545</v>
      </c>
      <c r="I309" s="233">
        <v>2473</v>
      </c>
      <c r="J309">
        <v>2416</v>
      </c>
      <c r="K309">
        <v>2273</v>
      </c>
      <c r="L309">
        <v>2610</v>
      </c>
      <c r="M309">
        <v>2534</v>
      </c>
      <c r="N309">
        <v>2642</v>
      </c>
      <c r="O309">
        <v>2531</v>
      </c>
      <c r="P309">
        <v>2741</v>
      </c>
      <c r="Q309">
        <v>2752</v>
      </c>
    </row>
    <row r="310" spans="1:17" x14ac:dyDescent="0.25">
      <c r="A310" s="29" t="str">
        <f>_xll.EVPRO("Finance",$C310,"Inv_Type")</f>
        <v>Inv_Equity</v>
      </c>
      <c r="B310" s="29" t="str">
        <f t="shared" si="8"/>
        <v>SHC of Hart County Rehab &amp; Wellness Center</v>
      </c>
      <c r="C310" s="29" t="str">
        <f t="shared" si="9"/>
        <v>S09285 - SHC of Hart County Rehab &amp; Wellness Center</v>
      </c>
      <c r="D310" s="31"/>
      <c r="E310" s="2" t="str">
        <f xml:space="preserve"> _xll.EPMOlapMemberO("[ACCOUNT].[H1].[A_BEDS_TOTAL]","","A_BEDS_TOTAL - Total Available Beds","","000")</f>
        <v>A_BEDS_TOTAL - Total Available Beds</v>
      </c>
      <c r="F310" s="233">
        <v>98</v>
      </c>
      <c r="G310" s="233">
        <v>98</v>
      </c>
      <c r="H310" s="233">
        <v>98</v>
      </c>
      <c r="I310" s="233">
        <v>98</v>
      </c>
      <c r="J310">
        <v>98</v>
      </c>
      <c r="K310">
        <v>98</v>
      </c>
      <c r="L310">
        <v>98</v>
      </c>
      <c r="M310">
        <v>98</v>
      </c>
      <c r="N310">
        <v>98</v>
      </c>
      <c r="O310">
        <v>98</v>
      </c>
      <c r="P310">
        <v>98</v>
      </c>
      <c r="Q310">
        <v>98</v>
      </c>
    </row>
    <row r="311" spans="1:17" x14ac:dyDescent="0.25">
      <c r="A311" s="29" t="str">
        <f>_xll.EVPRO("Finance",$C311,"Inv_Type")</f>
        <v>Inv_Equity</v>
      </c>
      <c r="B311" s="29" t="str">
        <f t="shared" si="8"/>
        <v>SHC of Hart County Rehab &amp; Wellness Center</v>
      </c>
      <c r="C311" s="29" t="str">
        <f t="shared" si="9"/>
        <v>S09285 - SHC of Hart County Rehab &amp; Wellness Center</v>
      </c>
      <c r="D311" s="31"/>
      <c r="E311" s="15" t="str">
        <f xml:space="preserve"> _xll.EPMOlapMemberO("[ACCOUNT].[H1].[T_REVENUES]","","T_REVENUES - Total Tenant Revenues","","000")</f>
        <v>T_REVENUES - Total Tenant Revenues</v>
      </c>
      <c r="F311" s="233">
        <v>679820</v>
      </c>
      <c r="G311" s="233">
        <v>680379</v>
      </c>
      <c r="H311" s="233">
        <v>657845</v>
      </c>
      <c r="I311" s="233">
        <v>860870</v>
      </c>
      <c r="J311">
        <v>723017</v>
      </c>
      <c r="K311">
        <v>636530</v>
      </c>
      <c r="L311">
        <v>827905</v>
      </c>
      <c r="M311">
        <v>710891</v>
      </c>
      <c r="N311">
        <v>756771</v>
      </c>
      <c r="O311">
        <v>690067</v>
      </c>
      <c r="P311">
        <v>767057</v>
      </c>
      <c r="Q311">
        <v>752784</v>
      </c>
    </row>
    <row r="312" spans="1:17" x14ac:dyDescent="0.25">
      <c r="A312" s="29" t="str">
        <f>_xll.EVPRO("Finance",$C312,"Inv_Type")</f>
        <v>Inv_Equity</v>
      </c>
      <c r="B312" s="29" t="str">
        <f t="shared" si="8"/>
        <v>SHC of Hart County Rehab &amp; Wellness Center</v>
      </c>
      <c r="C312" s="29" t="str">
        <f t="shared" si="9"/>
        <v>S09285 - SHC of Hart County Rehab &amp; Wellness Center</v>
      </c>
      <c r="D312" s="31"/>
      <c r="E312" s="15" t="str">
        <f xml:space="preserve"> _xll.EPMOlapMemberO("[ACCOUNT].[H1].[T_OPEX]","","T_OPEX - Tenant Operating Expenses","","000")</f>
        <v>T_OPEX - Tenant Operating Expenses</v>
      </c>
      <c r="F312" s="233">
        <v>569618</v>
      </c>
      <c r="G312" s="233">
        <v>558436</v>
      </c>
      <c r="H312" s="233">
        <v>544810</v>
      </c>
      <c r="I312" s="233">
        <v>819926</v>
      </c>
      <c r="J312">
        <v>575876</v>
      </c>
      <c r="K312">
        <v>506317</v>
      </c>
      <c r="L312">
        <v>575128</v>
      </c>
      <c r="M312">
        <v>512930</v>
      </c>
      <c r="N312">
        <v>550977</v>
      </c>
      <c r="O312">
        <v>517446</v>
      </c>
      <c r="P312">
        <v>539855</v>
      </c>
      <c r="Q312">
        <v>561647</v>
      </c>
    </row>
    <row r="313" spans="1:17" x14ac:dyDescent="0.25">
      <c r="A313" s="29" t="str">
        <f>_xll.EVPRO("Finance",$C313,"Inv_Type")</f>
        <v>Inv_Equity</v>
      </c>
      <c r="B313" s="29" t="str">
        <f t="shared" si="8"/>
        <v>SHC of Hart County Rehab &amp; Wellness Center</v>
      </c>
      <c r="C313" s="29" t="str">
        <f t="shared" si="9"/>
        <v>S09285 - SHC of Hart County Rehab &amp; Wellness Center</v>
      </c>
      <c r="D313" s="31"/>
      <c r="E313" s="2" t="str">
        <f xml:space="preserve"> _xll.EPMOlapMemberO("[ACCOUNT].[H1].[T_NON_OP_EXP]","","T_NON_OP_EXP - Tenant Non-Operating Expense","","000")</f>
        <v>T_NON_OP_EXP - Tenant Non-Operating Expense</v>
      </c>
      <c r="F313" s="233">
        <v>15428</v>
      </c>
      <c r="G313" s="233">
        <v>15906</v>
      </c>
      <c r="H313" s="233">
        <v>15507</v>
      </c>
      <c r="I313" s="233">
        <v>12248</v>
      </c>
      <c r="J313">
        <v>13314</v>
      </c>
      <c r="K313">
        <v>13455</v>
      </c>
      <c r="L313">
        <v>11063</v>
      </c>
      <c r="M313">
        <v>12009</v>
      </c>
      <c r="N313">
        <v>10922</v>
      </c>
      <c r="O313">
        <v>12048</v>
      </c>
      <c r="P313">
        <v>12354</v>
      </c>
      <c r="Q313">
        <v>11928</v>
      </c>
    </row>
    <row r="314" spans="1:17" x14ac:dyDescent="0.25">
      <c r="A314" s="29" t="str">
        <f>_xll.EVPRO("Finance",$C314,"Inv_Type")</f>
        <v>Inv_Equity</v>
      </c>
      <c r="B314" s="29" t="str">
        <f t="shared" si="8"/>
        <v>SHC of Hart County Rehab &amp; Wellness Center</v>
      </c>
      <c r="C314" s="29" t="str">
        <f t="shared" si="9"/>
        <v>S09285 - SHC of Hart County Rehab &amp; Wellness Center</v>
      </c>
      <c r="D314" s="31"/>
      <c r="E314" s="16" t="str">
        <f xml:space="preserve"> _xll.EPMOlapMemberO("[ACCOUNT].[H1].[T_BAD_DEBT]","","T_BAD_DEBT - Tenant Bad Debt Expense","","000")</f>
        <v>T_BAD_DEBT - Tenant Bad Debt Expense</v>
      </c>
      <c r="F314" s="233">
        <v>15000</v>
      </c>
      <c r="G314" s="233">
        <v>11384</v>
      </c>
      <c r="H314" s="233">
        <v>10000</v>
      </c>
      <c r="I314" s="233">
        <v>32012</v>
      </c>
      <c r="J314">
        <v>12500</v>
      </c>
      <c r="K314">
        <v>12500</v>
      </c>
      <c r="M314">
        <v>8365</v>
      </c>
      <c r="N314">
        <v>5000</v>
      </c>
      <c r="O314">
        <v>2500</v>
      </c>
      <c r="P314">
        <v>7500</v>
      </c>
      <c r="Q314">
        <v>5000</v>
      </c>
    </row>
    <row r="315" spans="1:17" x14ac:dyDescent="0.25">
      <c r="A315" s="29" t="str">
        <f>_xll.EVPRO("Finance",$C315,"Inv_Type")</f>
        <v>Inv_Equity</v>
      </c>
      <c r="B315" s="29" t="str">
        <f t="shared" ref="B315:B378" si="10">MID($C315,FIND("- ",$C315)+2,10000)</f>
        <v>SHC of Hart County Rehab &amp; Wellness Center</v>
      </c>
      <c r="C315" s="29" t="str">
        <f t="shared" si="9"/>
        <v>S09285 - SHC of Hart County Rehab &amp; Wellness Center</v>
      </c>
      <c r="D315" s="31"/>
      <c r="E315" s="3" t="str">
        <f xml:space="preserve"> _xll.EPMOlapMemberO("[ACCOUNT].[H1].[T_EBITDARM]","","T_EBITDARM - EBITDARM","","000")</f>
        <v>T_EBITDARM - EBITDARM</v>
      </c>
      <c r="F315" s="233">
        <v>110202</v>
      </c>
      <c r="G315" s="233">
        <v>121943</v>
      </c>
      <c r="H315" s="233">
        <v>113035</v>
      </c>
      <c r="I315" s="233">
        <v>40944</v>
      </c>
      <c r="J315">
        <v>147141</v>
      </c>
      <c r="K315">
        <v>130213</v>
      </c>
      <c r="L315">
        <v>252777</v>
      </c>
      <c r="M315">
        <v>197961</v>
      </c>
      <c r="N315">
        <v>205794</v>
      </c>
      <c r="O315">
        <v>172621</v>
      </c>
      <c r="P315">
        <v>227202</v>
      </c>
      <c r="Q315">
        <v>191137</v>
      </c>
    </row>
    <row r="316" spans="1:17" x14ac:dyDescent="0.25">
      <c r="A316" s="29" t="str">
        <f>_xll.EVPRO("Finance",$C316,"Inv_Type")</f>
        <v>Inv_Equity</v>
      </c>
      <c r="B316" s="29" t="str">
        <f t="shared" si="10"/>
        <v>SHC of Hart County Rehab &amp; Wellness Center</v>
      </c>
      <c r="C316" s="29" t="str">
        <f t="shared" si="9"/>
        <v>S09285 - SHC of Hart County Rehab &amp; Wellness Center</v>
      </c>
      <c r="D316" s="31"/>
      <c r="E316" s="3" t="str">
        <f xml:space="preserve"> _xll.EPMOlapMemberO("[ACCOUNT].[H1].[T_MGMT_FEE]","","T_MGMT_FEE - Tenant Management Fee - Actual","","000")</f>
        <v>T_MGMT_FEE - Tenant Management Fee - Actual</v>
      </c>
      <c r="F316" s="233">
        <v>34331</v>
      </c>
      <c r="G316" s="233">
        <v>34359</v>
      </c>
      <c r="H316" s="233">
        <v>33221</v>
      </c>
      <c r="I316" s="233">
        <v>40105</v>
      </c>
      <c r="J316">
        <v>36512</v>
      </c>
      <c r="K316">
        <v>32145</v>
      </c>
      <c r="L316">
        <v>41809</v>
      </c>
      <c r="M316">
        <v>35900</v>
      </c>
      <c r="N316">
        <v>38217</v>
      </c>
      <c r="O316">
        <v>34848</v>
      </c>
      <c r="P316">
        <v>38736</v>
      </c>
      <c r="Q316">
        <v>38016</v>
      </c>
    </row>
    <row r="317" spans="1:17" x14ac:dyDescent="0.25">
      <c r="A317" s="29" t="str">
        <f>_xll.EVPRO("Finance",$C317,"Inv_Type")</f>
        <v>Inv_Equity</v>
      </c>
      <c r="B317" s="29" t="str">
        <f t="shared" si="10"/>
        <v>SHC of Hart County Rehab &amp; Wellness Center</v>
      </c>
      <c r="C317" s="29" t="str">
        <f t="shared" si="9"/>
        <v>S09285 - SHC of Hart County Rehab &amp; Wellness Center</v>
      </c>
      <c r="D317" s="31"/>
      <c r="E317" s="2" t="str">
        <f xml:space="preserve"> _xll.EPMOlapMemberO("[ACCOUNT].[H1].[T_EBITDAR]","","T_EBITDAR - EBITDAR","","000")</f>
        <v>T_EBITDAR - EBITDAR</v>
      </c>
      <c r="F317" s="233">
        <v>75871</v>
      </c>
      <c r="G317" s="233">
        <v>87584</v>
      </c>
      <c r="H317" s="233">
        <v>79814</v>
      </c>
      <c r="I317" s="233">
        <v>839</v>
      </c>
      <c r="J317">
        <v>110629</v>
      </c>
      <c r="K317">
        <v>98068</v>
      </c>
      <c r="L317">
        <v>210968</v>
      </c>
      <c r="M317">
        <v>162061</v>
      </c>
      <c r="N317">
        <v>167577</v>
      </c>
      <c r="O317">
        <v>137773</v>
      </c>
      <c r="P317">
        <v>188466</v>
      </c>
      <c r="Q317">
        <v>153121</v>
      </c>
    </row>
    <row r="318" spans="1:17" x14ac:dyDescent="0.25">
      <c r="A318" s="29" t="str">
        <f>_xll.EVPRO("Finance",$C318,"Inv_Type")</f>
        <v>Inv_Equity</v>
      </c>
      <c r="B318" s="29" t="str">
        <f t="shared" si="10"/>
        <v>SHC of Hart County Rehab &amp; Wellness Center</v>
      </c>
      <c r="C318" s="29" t="str">
        <f t="shared" si="9"/>
        <v>S09285 - SHC of Hart County Rehab &amp; Wellness Center</v>
      </c>
      <c r="D318" s="31"/>
      <c r="E318" s="2" t="str">
        <f xml:space="preserve"> _xll.EPMOlapMemberO("[ACCOUNT].[H1].[T_RENT_EXP]","","T_RENT_EXP - Tenant Rent Expense","","000")</f>
        <v>T_RENT_EXP - Tenant Rent Expense</v>
      </c>
      <c r="F318" s="233">
        <v>84361</v>
      </c>
      <c r="G318" s="233">
        <v>84361</v>
      </c>
      <c r="H318" s="233">
        <v>84361</v>
      </c>
      <c r="I318" s="233">
        <v>86470</v>
      </c>
      <c r="J318">
        <v>86470</v>
      </c>
      <c r="K318">
        <v>86470</v>
      </c>
      <c r="L318">
        <v>86470</v>
      </c>
      <c r="M318">
        <v>86470</v>
      </c>
      <c r="N318">
        <v>86470</v>
      </c>
      <c r="O318">
        <v>86470</v>
      </c>
      <c r="P318">
        <v>86470</v>
      </c>
      <c r="Q318">
        <v>86470</v>
      </c>
    </row>
    <row r="319" spans="1:17" x14ac:dyDescent="0.25">
      <c r="A319" s="29" t="str">
        <f>_xll.EVPRO("Finance",$C319,"Inv_Type")</f>
        <v>Inv_Equity</v>
      </c>
      <c r="B319" s="29" t="str">
        <f t="shared" si="10"/>
        <v>SHC at Heritage Hall Rehab &amp; Wellness Center</v>
      </c>
      <c r="C319" s="29" t="str">
        <f t="shared" si="9"/>
        <v>S09286 - SHC at Heritage Hall Rehab &amp; Wellness Center</v>
      </c>
      <c r="D319" s="31" t="str">
        <f xml:space="preserve"> _xll.EPMOlapMemberO("[ENTITY].[H1].[S09286]","","S09286 - SHC at Heritage Hall Rehab &amp; Wellness Center","","000")</f>
        <v>S09286 - SHC at Heritage Hall Rehab &amp; Wellness Center</v>
      </c>
      <c r="E319" s="31" t="str">
        <f xml:space="preserve"> _xll.EPMOlapMemberO("[ACCOUNT].[H1].[PAY_PAT_DAYS]","","PAY_PAT_DAYS - Total Payor Patient Days","","000")</f>
        <v>PAY_PAT_DAYS - Total Payor Patient Days</v>
      </c>
      <c r="F319" s="233">
        <v>2296</v>
      </c>
      <c r="G319" s="233">
        <v>2475</v>
      </c>
      <c r="H319" s="233">
        <v>2331</v>
      </c>
      <c r="I319" s="233">
        <v>2050</v>
      </c>
      <c r="J319">
        <v>1888</v>
      </c>
      <c r="K319">
        <v>1965</v>
      </c>
      <c r="L319">
        <v>2473</v>
      </c>
      <c r="M319">
        <v>2465</v>
      </c>
      <c r="N319">
        <v>2527</v>
      </c>
      <c r="O319">
        <v>2565</v>
      </c>
      <c r="P319">
        <v>2673</v>
      </c>
      <c r="Q319">
        <v>2727</v>
      </c>
    </row>
    <row r="320" spans="1:17" x14ac:dyDescent="0.25">
      <c r="A320" s="29" t="str">
        <f>_xll.EVPRO("Finance",$C320,"Inv_Type")</f>
        <v>Inv_Equity</v>
      </c>
      <c r="B320" s="29" t="str">
        <f t="shared" si="10"/>
        <v>SHC at Heritage Hall Rehab &amp; Wellness Center</v>
      </c>
      <c r="C320" s="29" t="str">
        <f t="shared" si="9"/>
        <v>S09286 - SHC at Heritage Hall Rehab &amp; Wellness Center</v>
      </c>
      <c r="D320" s="31"/>
      <c r="E320" s="2" t="str">
        <f xml:space="preserve"> _xll.EPMOlapMemberO("[ACCOUNT].[H1].[A_BEDS_TOTAL]","","A_BEDS_TOTAL - Total Available Beds","","000")</f>
        <v>A_BEDS_TOTAL - Total Available Beds</v>
      </c>
      <c r="F320" s="233">
        <v>94</v>
      </c>
      <c r="G320" s="233">
        <v>94</v>
      </c>
      <c r="H320" s="233">
        <v>94</v>
      </c>
      <c r="I320" s="233">
        <v>94</v>
      </c>
      <c r="J320">
        <v>94</v>
      </c>
      <c r="K320">
        <v>94</v>
      </c>
      <c r="L320">
        <v>94</v>
      </c>
      <c r="M320">
        <v>94</v>
      </c>
      <c r="N320">
        <v>94</v>
      </c>
      <c r="O320">
        <v>94</v>
      </c>
      <c r="P320">
        <v>94</v>
      </c>
      <c r="Q320">
        <v>94</v>
      </c>
    </row>
    <row r="321" spans="1:17" x14ac:dyDescent="0.25">
      <c r="A321" s="29" t="str">
        <f>_xll.EVPRO("Finance",$C321,"Inv_Type")</f>
        <v>Inv_Equity</v>
      </c>
      <c r="B321" s="29" t="str">
        <f t="shared" si="10"/>
        <v>SHC at Heritage Hall Rehab &amp; Wellness Center</v>
      </c>
      <c r="C321" s="29" t="str">
        <f t="shared" si="9"/>
        <v>S09286 - SHC at Heritage Hall Rehab &amp; Wellness Center</v>
      </c>
      <c r="D321" s="31"/>
      <c r="E321" s="15" t="str">
        <f xml:space="preserve"> _xll.EPMOlapMemberO("[ACCOUNT].[H1].[T_REVENUES]","","T_REVENUES - Total Tenant Revenues","","000")</f>
        <v>T_REVENUES - Total Tenant Revenues</v>
      </c>
      <c r="F321" s="233">
        <v>579848</v>
      </c>
      <c r="G321" s="233">
        <v>689439</v>
      </c>
      <c r="H321" s="233">
        <v>727278</v>
      </c>
      <c r="I321" s="233">
        <v>1020165</v>
      </c>
      <c r="J321">
        <v>572909</v>
      </c>
      <c r="K321">
        <v>556620</v>
      </c>
      <c r="L321">
        <v>749594</v>
      </c>
      <c r="M321">
        <v>635450</v>
      </c>
      <c r="N321">
        <v>709916</v>
      </c>
      <c r="O321">
        <v>763070</v>
      </c>
      <c r="P321">
        <v>742746</v>
      </c>
      <c r="Q321">
        <v>734138</v>
      </c>
    </row>
    <row r="322" spans="1:17" x14ac:dyDescent="0.25">
      <c r="A322" s="29" t="str">
        <f>_xll.EVPRO("Finance",$C322,"Inv_Type")</f>
        <v>Inv_Equity</v>
      </c>
      <c r="B322" s="29" t="str">
        <f t="shared" si="10"/>
        <v>SHC at Heritage Hall Rehab &amp; Wellness Center</v>
      </c>
      <c r="C322" s="29" t="str">
        <f t="shared" si="9"/>
        <v>S09286 - SHC at Heritage Hall Rehab &amp; Wellness Center</v>
      </c>
      <c r="D322" s="31"/>
      <c r="E322" s="15" t="str">
        <f xml:space="preserve"> _xll.EPMOlapMemberO("[ACCOUNT].[H1].[T_OPEX]","","T_OPEX - Tenant Operating Expenses","","000")</f>
        <v>T_OPEX - Tenant Operating Expenses</v>
      </c>
      <c r="F322" s="233">
        <v>531392</v>
      </c>
      <c r="G322" s="233">
        <v>558642</v>
      </c>
      <c r="H322" s="233">
        <v>556098</v>
      </c>
      <c r="I322" s="233">
        <v>803684</v>
      </c>
      <c r="J322">
        <v>585181</v>
      </c>
      <c r="K322">
        <v>488549</v>
      </c>
      <c r="L322">
        <v>535750</v>
      </c>
      <c r="M322">
        <v>472531</v>
      </c>
      <c r="N322">
        <v>547343</v>
      </c>
      <c r="O322">
        <v>537465</v>
      </c>
      <c r="P322">
        <v>602515</v>
      </c>
      <c r="Q322">
        <v>644103</v>
      </c>
    </row>
    <row r="323" spans="1:17" x14ac:dyDescent="0.25">
      <c r="A323" s="29" t="str">
        <f>_xll.EVPRO("Finance",$C323,"Inv_Type")</f>
        <v>Inv_Equity</v>
      </c>
      <c r="B323" s="29" t="str">
        <f t="shared" si="10"/>
        <v>SHC at Heritage Hall Rehab &amp; Wellness Center</v>
      </c>
      <c r="C323" s="29" t="str">
        <f t="shared" si="9"/>
        <v>S09286 - SHC at Heritage Hall Rehab &amp; Wellness Center</v>
      </c>
      <c r="D323" s="31"/>
      <c r="E323" s="2" t="str">
        <f xml:space="preserve"> _xll.EPMOlapMemberO("[ACCOUNT].[H1].[T_NON_OP_EXP]","","T_NON_OP_EXP - Tenant Non-Operating Expense","","000")</f>
        <v>T_NON_OP_EXP - Tenant Non-Operating Expense</v>
      </c>
      <c r="F323" s="233">
        <v>15197</v>
      </c>
      <c r="G323" s="233">
        <v>15321</v>
      </c>
      <c r="H323" s="233">
        <v>23591</v>
      </c>
      <c r="I323" s="233">
        <v>11838</v>
      </c>
      <c r="J323">
        <v>12414</v>
      </c>
      <c r="K323">
        <v>12619</v>
      </c>
      <c r="L323">
        <v>12587</v>
      </c>
      <c r="M323">
        <v>13745</v>
      </c>
      <c r="N323">
        <v>12808</v>
      </c>
      <c r="O323">
        <v>13568</v>
      </c>
      <c r="P323">
        <v>13856</v>
      </c>
      <c r="Q323">
        <v>16943</v>
      </c>
    </row>
    <row r="324" spans="1:17" x14ac:dyDescent="0.25">
      <c r="A324" s="29" t="str">
        <f>_xll.EVPRO("Finance",$C324,"Inv_Type")</f>
        <v>Inv_Equity</v>
      </c>
      <c r="B324" s="29" t="str">
        <f t="shared" si="10"/>
        <v>SHC at Heritage Hall Rehab &amp; Wellness Center</v>
      </c>
      <c r="C324" s="29" t="str">
        <f t="shared" si="9"/>
        <v>S09286 - SHC at Heritage Hall Rehab &amp; Wellness Center</v>
      </c>
      <c r="D324" s="31"/>
      <c r="E324" s="16" t="str">
        <f xml:space="preserve"> _xll.EPMOlapMemberO("[ACCOUNT].[H1].[T_BAD_DEBT]","","T_BAD_DEBT - Tenant Bad Debt Expense","","000")</f>
        <v>T_BAD_DEBT - Tenant Bad Debt Expense</v>
      </c>
      <c r="F324" s="233">
        <v>7500</v>
      </c>
      <c r="G324" s="233">
        <v>6066</v>
      </c>
      <c r="H324" s="233">
        <v>7500</v>
      </c>
      <c r="I324" s="233">
        <v>28149</v>
      </c>
      <c r="J324">
        <v>7500</v>
      </c>
      <c r="K324">
        <v>7500</v>
      </c>
      <c r="M324">
        <v>6318</v>
      </c>
      <c r="O324">
        <v>7500</v>
      </c>
      <c r="P324">
        <v>15000</v>
      </c>
      <c r="Q324">
        <v>15000</v>
      </c>
    </row>
    <row r="325" spans="1:17" x14ac:dyDescent="0.25">
      <c r="A325" s="29" t="str">
        <f>_xll.EVPRO("Finance",$C325,"Inv_Type")</f>
        <v>Inv_Equity</v>
      </c>
      <c r="B325" s="29" t="str">
        <f t="shared" si="10"/>
        <v>SHC at Heritage Hall Rehab &amp; Wellness Center</v>
      </c>
      <c r="C325" s="29" t="str">
        <f t="shared" si="9"/>
        <v>S09286 - SHC at Heritage Hall Rehab &amp; Wellness Center</v>
      </c>
      <c r="D325" s="31"/>
      <c r="E325" s="3" t="str">
        <f xml:space="preserve"> _xll.EPMOlapMemberO("[ACCOUNT].[H1].[T_EBITDARM]","","T_EBITDARM - EBITDARM","","000")</f>
        <v>T_EBITDARM - EBITDARM</v>
      </c>
      <c r="F325" s="233">
        <v>48456</v>
      </c>
      <c r="G325" s="233">
        <v>130797</v>
      </c>
      <c r="H325" s="233">
        <v>171180</v>
      </c>
      <c r="I325" s="233">
        <v>216481</v>
      </c>
      <c r="J325">
        <v>-12272</v>
      </c>
      <c r="K325">
        <v>68071</v>
      </c>
      <c r="L325">
        <v>213844</v>
      </c>
      <c r="M325">
        <v>162919</v>
      </c>
      <c r="N325">
        <v>162573</v>
      </c>
      <c r="O325">
        <v>225605</v>
      </c>
      <c r="P325">
        <v>140231</v>
      </c>
      <c r="Q325">
        <v>90035</v>
      </c>
    </row>
    <row r="326" spans="1:17" x14ac:dyDescent="0.25">
      <c r="A326" s="29" t="str">
        <f>_xll.EVPRO("Finance",$C326,"Inv_Type")</f>
        <v>Inv_Equity</v>
      </c>
      <c r="B326" s="29" t="str">
        <f t="shared" si="10"/>
        <v>SHC at Heritage Hall Rehab &amp; Wellness Center</v>
      </c>
      <c r="C326" s="29" t="str">
        <f t="shared" ref="C326:C389" si="11">IF($D326&lt;&gt;"",$D326,C325)</f>
        <v>S09286 - SHC at Heritage Hall Rehab &amp; Wellness Center</v>
      </c>
      <c r="D326" s="31"/>
      <c r="E326" s="3" t="str">
        <f xml:space="preserve"> _xll.EPMOlapMemberO("[ACCOUNT].[H1].[T_MGMT_FEE]","","T_MGMT_FEE - Tenant Management Fee - Actual","","000")</f>
        <v>T_MGMT_FEE - Tenant Management Fee - Actual</v>
      </c>
      <c r="F326" s="233">
        <v>29254</v>
      </c>
      <c r="G326" s="233">
        <v>34817</v>
      </c>
      <c r="H326" s="233">
        <v>36728</v>
      </c>
      <c r="I326" s="233">
        <v>51288</v>
      </c>
      <c r="J326">
        <v>28944</v>
      </c>
      <c r="K326">
        <v>28109</v>
      </c>
      <c r="L326">
        <v>37855</v>
      </c>
      <c r="M326">
        <v>32090</v>
      </c>
      <c r="N326">
        <v>35851</v>
      </c>
      <c r="O326">
        <v>38535</v>
      </c>
      <c r="P326">
        <v>37509</v>
      </c>
      <c r="Q326">
        <v>37074</v>
      </c>
    </row>
    <row r="327" spans="1:17" x14ac:dyDescent="0.25">
      <c r="A327" s="29" t="str">
        <f>_xll.EVPRO("Finance",$C327,"Inv_Type")</f>
        <v>Inv_Equity</v>
      </c>
      <c r="B327" s="29" t="str">
        <f t="shared" si="10"/>
        <v>SHC at Heritage Hall Rehab &amp; Wellness Center</v>
      </c>
      <c r="C327" s="29" t="str">
        <f t="shared" si="11"/>
        <v>S09286 - SHC at Heritage Hall Rehab &amp; Wellness Center</v>
      </c>
      <c r="D327" s="31"/>
      <c r="E327" s="2" t="str">
        <f xml:space="preserve"> _xll.EPMOlapMemberO("[ACCOUNT].[H1].[T_EBITDAR]","","T_EBITDAR - EBITDAR","","000")</f>
        <v>T_EBITDAR - EBITDAR</v>
      </c>
      <c r="F327" s="233">
        <v>19202</v>
      </c>
      <c r="G327" s="233">
        <v>95980</v>
      </c>
      <c r="H327" s="233">
        <v>134452</v>
      </c>
      <c r="I327" s="233">
        <v>165193</v>
      </c>
      <c r="J327">
        <v>-41216</v>
      </c>
      <c r="K327">
        <v>39962</v>
      </c>
      <c r="L327">
        <v>175989</v>
      </c>
      <c r="M327">
        <v>130829</v>
      </c>
      <c r="N327">
        <v>126722</v>
      </c>
      <c r="O327">
        <v>187070</v>
      </c>
      <c r="P327">
        <v>102722</v>
      </c>
      <c r="Q327">
        <v>52961</v>
      </c>
    </row>
    <row r="328" spans="1:17" x14ac:dyDescent="0.25">
      <c r="A328" s="29" t="str">
        <f>_xll.EVPRO("Finance",$C328,"Inv_Type")</f>
        <v>Inv_Equity</v>
      </c>
      <c r="B328" s="29" t="str">
        <f t="shared" si="10"/>
        <v>SHC at Heritage Hall Rehab &amp; Wellness Center</v>
      </c>
      <c r="C328" s="29" t="str">
        <f t="shared" si="11"/>
        <v>S09286 - SHC at Heritage Hall Rehab &amp; Wellness Center</v>
      </c>
      <c r="D328" s="31"/>
      <c r="E328" s="2" t="str">
        <f xml:space="preserve"> _xll.EPMOlapMemberO("[ACCOUNT].[H1].[T_RENT_EXP]","","T_RENT_EXP - Tenant Rent Expense","","000")</f>
        <v>T_RENT_EXP - Tenant Rent Expense</v>
      </c>
      <c r="F328" s="233">
        <v>56423</v>
      </c>
      <c r="G328" s="233">
        <v>56423</v>
      </c>
      <c r="H328" s="233">
        <v>56423</v>
      </c>
      <c r="I328" s="233">
        <v>57834</v>
      </c>
      <c r="J328">
        <v>57834</v>
      </c>
      <c r="K328">
        <v>57834</v>
      </c>
      <c r="L328">
        <v>57834</v>
      </c>
      <c r="M328">
        <v>57834</v>
      </c>
      <c r="N328">
        <v>57834</v>
      </c>
      <c r="O328">
        <v>57834</v>
      </c>
      <c r="P328">
        <v>57834</v>
      </c>
      <c r="Q328">
        <v>57834</v>
      </c>
    </row>
    <row r="329" spans="1:17" x14ac:dyDescent="0.25">
      <c r="A329" s="29" t="str">
        <f>_xll.EVPRO("Finance",$C329,"Inv_Type")</f>
        <v>Inv_Equity</v>
      </c>
      <c r="B329" s="29" t="str">
        <f t="shared" si="10"/>
        <v>SHC at Jackson Manor Rehab &amp; Wellness Center</v>
      </c>
      <c r="C329" s="29" t="str">
        <f t="shared" si="11"/>
        <v>S09287 - SHC at Jackson Manor Rehab &amp; Wellness Center</v>
      </c>
      <c r="D329" s="31" t="str">
        <f xml:space="preserve"> _xll.EPMOlapMemberO("[ENTITY].[H1].[S09287]","","S09287 - SHC at Jackson Manor Rehab &amp; Wellness Center","","000")</f>
        <v>S09287 - SHC at Jackson Manor Rehab &amp; Wellness Center</v>
      </c>
      <c r="E329" s="31" t="str">
        <f xml:space="preserve"> _xll.EPMOlapMemberO("[ACCOUNT].[H1].[PAY_PAT_DAYS]","","PAY_PAT_DAYS - Total Payor Patient Days","","000")</f>
        <v>PAY_PAT_DAYS - Total Payor Patient Days</v>
      </c>
      <c r="F329" s="233">
        <v>1248</v>
      </c>
      <c r="G329" s="233">
        <v>1267</v>
      </c>
      <c r="H329" s="233">
        <v>1375</v>
      </c>
      <c r="I329" s="233">
        <v>1425</v>
      </c>
      <c r="J329">
        <v>1433</v>
      </c>
      <c r="K329">
        <v>1210</v>
      </c>
      <c r="L329">
        <v>1310</v>
      </c>
      <c r="M329">
        <v>1261</v>
      </c>
      <c r="N329">
        <v>1346</v>
      </c>
      <c r="O329">
        <v>1330</v>
      </c>
      <c r="P329">
        <v>1270</v>
      </c>
      <c r="Q329">
        <v>1165</v>
      </c>
    </row>
    <row r="330" spans="1:17" x14ac:dyDescent="0.25">
      <c r="A330" s="29" t="str">
        <f>_xll.EVPRO("Finance",$C330,"Inv_Type")</f>
        <v>Inv_Equity</v>
      </c>
      <c r="B330" s="29" t="str">
        <f t="shared" si="10"/>
        <v>SHC at Jackson Manor Rehab &amp; Wellness Center</v>
      </c>
      <c r="C330" s="29" t="str">
        <f t="shared" si="11"/>
        <v>S09287 - SHC at Jackson Manor Rehab &amp; Wellness Center</v>
      </c>
      <c r="D330" s="31"/>
      <c r="E330" s="2" t="str">
        <f xml:space="preserve"> _xll.EPMOlapMemberO("[ACCOUNT].[H1].[A_BEDS_TOTAL]","","A_BEDS_TOTAL - Total Available Beds","","000")</f>
        <v>A_BEDS_TOTAL - Total Available Beds</v>
      </c>
      <c r="F330" s="233">
        <v>51</v>
      </c>
      <c r="G330" s="233">
        <v>51</v>
      </c>
      <c r="H330" s="233">
        <v>51</v>
      </c>
      <c r="I330" s="233">
        <v>51</v>
      </c>
      <c r="J330">
        <v>51</v>
      </c>
      <c r="K330">
        <v>51</v>
      </c>
      <c r="L330">
        <v>51</v>
      </c>
      <c r="M330">
        <v>51</v>
      </c>
      <c r="N330">
        <v>51</v>
      </c>
      <c r="O330">
        <v>51</v>
      </c>
      <c r="P330">
        <v>51</v>
      </c>
      <c r="Q330">
        <v>51</v>
      </c>
    </row>
    <row r="331" spans="1:17" x14ac:dyDescent="0.25">
      <c r="A331" s="29" t="str">
        <f>_xll.EVPRO("Finance",$C331,"Inv_Type")</f>
        <v>Inv_Equity</v>
      </c>
      <c r="B331" s="29" t="str">
        <f t="shared" si="10"/>
        <v>SHC at Jackson Manor Rehab &amp; Wellness Center</v>
      </c>
      <c r="C331" s="29" t="str">
        <f t="shared" si="11"/>
        <v>S09287 - SHC at Jackson Manor Rehab &amp; Wellness Center</v>
      </c>
      <c r="D331" s="31"/>
      <c r="E331" s="15" t="str">
        <f xml:space="preserve"> _xll.EPMOlapMemberO("[ACCOUNT].[H1].[T_REVENUES]","","T_REVENUES - Total Tenant Revenues","","000")</f>
        <v>T_REVENUES - Total Tenant Revenues</v>
      </c>
      <c r="F331" s="233">
        <v>381705</v>
      </c>
      <c r="G331" s="233">
        <v>396773</v>
      </c>
      <c r="H331" s="233">
        <v>336917</v>
      </c>
      <c r="I331" s="233">
        <v>639490</v>
      </c>
      <c r="J331">
        <v>350938</v>
      </c>
      <c r="K331">
        <v>331158</v>
      </c>
      <c r="L331">
        <v>428998</v>
      </c>
      <c r="M331">
        <v>324824</v>
      </c>
      <c r="N331">
        <v>354066</v>
      </c>
      <c r="O331">
        <v>339097</v>
      </c>
      <c r="P331">
        <v>317991</v>
      </c>
      <c r="Q331">
        <v>325557</v>
      </c>
    </row>
    <row r="332" spans="1:17" x14ac:dyDescent="0.25">
      <c r="A332" s="29" t="str">
        <f>_xll.EVPRO("Finance",$C332,"Inv_Type")</f>
        <v>Inv_Equity</v>
      </c>
      <c r="B332" s="29" t="str">
        <f t="shared" si="10"/>
        <v>SHC at Jackson Manor Rehab &amp; Wellness Center</v>
      </c>
      <c r="C332" s="29" t="str">
        <f t="shared" si="11"/>
        <v>S09287 - SHC at Jackson Manor Rehab &amp; Wellness Center</v>
      </c>
      <c r="D332" s="31"/>
      <c r="E332" s="15" t="str">
        <f xml:space="preserve"> _xll.EPMOlapMemberO("[ACCOUNT].[H1].[T_OPEX]","","T_OPEX - Tenant Operating Expenses","","000")</f>
        <v>T_OPEX - Tenant Operating Expenses</v>
      </c>
      <c r="F332" s="233">
        <v>342413</v>
      </c>
      <c r="G332" s="233">
        <v>661497</v>
      </c>
      <c r="H332" s="233">
        <v>376587</v>
      </c>
      <c r="I332" s="233">
        <v>520788</v>
      </c>
      <c r="J332">
        <v>352333</v>
      </c>
      <c r="K332">
        <v>335222</v>
      </c>
      <c r="L332">
        <v>363662</v>
      </c>
      <c r="M332">
        <v>386263</v>
      </c>
      <c r="N332">
        <v>367289</v>
      </c>
      <c r="O332">
        <v>362004</v>
      </c>
      <c r="P332">
        <v>338185</v>
      </c>
      <c r="Q332">
        <v>346190</v>
      </c>
    </row>
    <row r="333" spans="1:17" x14ac:dyDescent="0.25">
      <c r="A333" s="29" t="str">
        <f>_xll.EVPRO("Finance",$C333,"Inv_Type")</f>
        <v>Inv_Equity</v>
      </c>
      <c r="B333" s="29" t="str">
        <f t="shared" si="10"/>
        <v>SHC at Jackson Manor Rehab &amp; Wellness Center</v>
      </c>
      <c r="C333" s="29" t="str">
        <f t="shared" si="11"/>
        <v>S09287 - SHC at Jackson Manor Rehab &amp; Wellness Center</v>
      </c>
      <c r="D333" s="31"/>
      <c r="E333" s="2" t="str">
        <f xml:space="preserve"> _xll.EPMOlapMemberO("[ACCOUNT].[H1].[T_NON_OP_EXP]","","T_NON_OP_EXP - Tenant Non-Operating Expense","","000")</f>
        <v>T_NON_OP_EXP - Tenant Non-Operating Expense</v>
      </c>
      <c r="F333" s="233">
        <v>6913</v>
      </c>
      <c r="G333" s="233">
        <v>7299</v>
      </c>
      <c r="H333" s="233">
        <v>7133</v>
      </c>
      <c r="I333" s="233">
        <v>5991</v>
      </c>
      <c r="J333">
        <v>6353</v>
      </c>
      <c r="K333">
        <v>6428</v>
      </c>
      <c r="L333">
        <v>6552</v>
      </c>
      <c r="M333">
        <v>6695</v>
      </c>
      <c r="N333">
        <v>6354</v>
      </c>
      <c r="O333">
        <v>7045</v>
      </c>
      <c r="P333">
        <v>7415</v>
      </c>
      <c r="Q333">
        <v>7185</v>
      </c>
    </row>
    <row r="334" spans="1:17" x14ac:dyDescent="0.25">
      <c r="A334" s="29" t="str">
        <f>_xll.EVPRO("Finance",$C334,"Inv_Type")</f>
        <v>Inv_Equity</v>
      </c>
      <c r="B334" s="29" t="str">
        <f t="shared" si="10"/>
        <v>SHC at Jackson Manor Rehab &amp; Wellness Center</v>
      </c>
      <c r="C334" s="29" t="str">
        <f t="shared" si="11"/>
        <v>S09287 - SHC at Jackson Manor Rehab &amp; Wellness Center</v>
      </c>
      <c r="D334" s="31"/>
      <c r="E334" s="16" t="str">
        <f xml:space="preserve"> _xll.EPMOlapMemberO("[ACCOUNT].[H1].[T_BAD_DEBT]","","T_BAD_DEBT - Tenant Bad Debt Expense","","000")</f>
        <v>T_BAD_DEBT - Tenant Bad Debt Expense</v>
      </c>
      <c r="F334" s="233">
        <v>7500</v>
      </c>
      <c r="G334" s="233">
        <v>10657</v>
      </c>
      <c r="H334" s="233">
        <v>-5000</v>
      </c>
      <c r="I334" s="233">
        <v>4409</v>
      </c>
      <c r="J334">
        <v>10000</v>
      </c>
      <c r="K334">
        <v>15000</v>
      </c>
      <c r="L334">
        <v>6552</v>
      </c>
      <c r="M334">
        <v>18314</v>
      </c>
      <c r="N334">
        <v>11475</v>
      </c>
      <c r="O334">
        <v>5000</v>
      </c>
      <c r="P334">
        <v>5000</v>
      </c>
      <c r="Q334">
        <v>5000</v>
      </c>
    </row>
    <row r="335" spans="1:17" x14ac:dyDescent="0.25">
      <c r="A335" s="29" t="str">
        <f>_xll.EVPRO("Finance",$C335,"Inv_Type")</f>
        <v>Inv_Equity</v>
      </c>
      <c r="B335" s="29" t="str">
        <f t="shared" si="10"/>
        <v>SHC at Jackson Manor Rehab &amp; Wellness Center</v>
      </c>
      <c r="C335" s="29" t="str">
        <f t="shared" si="11"/>
        <v>S09287 - SHC at Jackson Manor Rehab &amp; Wellness Center</v>
      </c>
      <c r="D335" s="31"/>
      <c r="E335" s="3" t="str">
        <f xml:space="preserve"> _xll.EPMOlapMemberO("[ACCOUNT].[H1].[T_EBITDARM]","","T_EBITDARM - EBITDARM","","000")</f>
        <v>T_EBITDARM - EBITDARM</v>
      </c>
      <c r="F335" s="233">
        <v>39292</v>
      </c>
      <c r="G335" s="233">
        <v>-264724</v>
      </c>
      <c r="H335" s="233">
        <v>-39670</v>
      </c>
      <c r="I335" s="233">
        <v>118702</v>
      </c>
      <c r="J335">
        <v>-1395</v>
      </c>
      <c r="K335">
        <v>-4064</v>
      </c>
      <c r="L335">
        <v>65336</v>
      </c>
      <c r="M335">
        <v>-61439</v>
      </c>
      <c r="N335">
        <v>-13223</v>
      </c>
      <c r="O335">
        <v>-22907</v>
      </c>
      <c r="P335">
        <v>-20194</v>
      </c>
      <c r="Q335">
        <v>-20633</v>
      </c>
    </row>
    <row r="336" spans="1:17" x14ac:dyDescent="0.25">
      <c r="A336" s="29" t="str">
        <f>_xll.EVPRO("Finance",$C336,"Inv_Type")</f>
        <v>Inv_Equity</v>
      </c>
      <c r="B336" s="29" t="str">
        <f t="shared" si="10"/>
        <v>SHC at Jackson Manor Rehab &amp; Wellness Center</v>
      </c>
      <c r="C336" s="29" t="str">
        <f t="shared" si="11"/>
        <v>S09287 - SHC at Jackson Manor Rehab &amp; Wellness Center</v>
      </c>
      <c r="D336" s="31"/>
      <c r="E336" s="3" t="str">
        <f xml:space="preserve"> _xll.EPMOlapMemberO("[ACCOUNT].[H1].[T_MGMT_FEE]","","T_MGMT_FEE - Tenant Management Fee - Actual","","000")</f>
        <v>T_MGMT_FEE - Tenant Management Fee - Actual</v>
      </c>
      <c r="F336" s="233">
        <v>18953</v>
      </c>
      <c r="G336" s="233">
        <v>20037</v>
      </c>
      <c r="H336" s="233">
        <v>17014</v>
      </c>
      <c r="I336" s="233">
        <v>36658</v>
      </c>
      <c r="J336">
        <v>17858</v>
      </c>
      <c r="K336">
        <v>16723</v>
      </c>
      <c r="L336">
        <v>21664</v>
      </c>
      <c r="M336">
        <v>16404</v>
      </c>
      <c r="N336">
        <v>17880</v>
      </c>
      <c r="O336">
        <v>17124</v>
      </c>
      <c r="P336">
        <v>16059</v>
      </c>
      <c r="Q336">
        <v>16441</v>
      </c>
    </row>
    <row r="337" spans="1:17" x14ac:dyDescent="0.25">
      <c r="A337" s="29" t="str">
        <f>_xll.EVPRO("Finance",$C337,"Inv_Type")</f>
        <v>Inv_Equity</v>
      </c>
      <c r="B337" s="29" t="str">
        <f t="shared" si="10"/>
        <v>SHC at Jackson Manor Rehab &amp; Wellness Center</v>
      </c>
      <c r="C337" s="29" t="str">
        <f t="shared" si="11"/>
        <v>S09287 - SHC at Jackson Manor Rehab &amp; Wellness Center</v>
      </c>
      <c r="D337" s="31"/>
      <c r="E337" s="2" t="str">
        <f xml:space="preserve"> _xll.EPMOlapMemberO("[ACCOUNT].[H1].[T_EBITDAR]","","T_EBITDAR - EBITDAR","","000")</f>
        <v>T_EBITDAR - EBITDAR</v>
      </c>
      <c r="F337" s="233">
        <v>20339</v>
      </c>
      <c r="G337" s="233">
        <v>-284761</v>
      </c>
      <c r="H337" s="233">
        <v>-56684</v>
      </c>
      <c r="I337" s="233">
        <v>82044</v>
      </c>
      <c r="J337">
        <v>-19253</v>
      </c>
      <c r="K337">
        <v>-20787</v>
      </c>
      <c r="L337">
        <v>43672</v>
      </c>
      <c r="M337">
        <v>-77843</v>
      </c>
      <c r="N337">
        <v>-31103</v>
      </c>
      <c r="O337">
        <v>-40031</v>
      </c>
      <c r="P337">
        <v>-36253</v>
      </c>
      <c r="Q337">
        <v>-37074</v>
      </c>
    </row>
    <row r="338" spans="1:17" x14ac:dyDescent="0.25">
      <c r="A338" s="29" t="str">
        <f>_xll.EVPRO("Finance",$C338,"Inv_Type")</f>
        <v>Inv_Equity</v>
      </c>
      <c r="B338" s="29" t="str">
        <f t="shared" si="10"/>
        <v>SHC at Jackson Manor Rehab &amp; Wellness Center</v>
      </c>
      <c r="C338" s="29" t="str">
        <f t="shared" si="11"/>
        <v>S09287 - SHC at Jackson Manor Rehab &amp; Wellness Center</v>
      </c>
      <c r="D338" s="31"/>
      <c r="E338" s="2" t="str">
        <f xml:space="preserve"> _xll.EPMOlapMemberO("[ACCOUNT].[H1].[T_RENT_EXP]","","T_RENT_EXP - Tenant Rent Expense","","000")</f>
        <v>T_RENT_EXP - Tenant Rent Expense</v>
      </c>
      <c r="F338" s="233">
        <v>31070</v>
      </c>
      <c r="G338" s="233">
        <v>31070</v>
      </c>
      <c r="H338" s="233">
        <v>31070</v>
      </c>
      <c r="I338" s="233">
        <v>31846</v>
      </c>
      <c r="J338">
        <v>31846</v>
      </c>
      <c r="K338">
        <v>31846</v>
      </c>
      <c r="L338">
        <v>31846</v>
      </c>
      <c r="M338">
        <v>31846</v>
      </c>
      <c r="N338">
        <v>31846</v>
      </c>
      <c r="O338">
        <v>31846</v>
      </c>
      <c r="P338">
        <v>31846</v>
      </c>
      <c r="Q338">
        <v>31846</v>
      </c>
    </row>
    <row r="339" spans="1:17" x14ac:dyDescent="0.25">
      <c r="A339" s="29" t="str">
        <f>_xll.EVPRO("Finance",$C339,"Inv_Type")</f>
        <v>Inv_Equity</v>
      </c>
      <c r="B339" s="29" t="str">
        <f t="shared" si="10"/>
        <v>SHC at Jefferson Manor Rehab &amp; Wellness Center</v>
      </c>
      <c r="C339" s="29" t="str">
        <f t="shared" si="11"/>
        <v>S09288 - SHC at Jefferson Manor Rehab &amp; Wellness Center</v>
      </c>
      <c r="D339" s="31" t="str">
        <f xml:space="preserve"> _xll.EPMOlapMemberO("[ENTITY].[H1].[S09288]","","S09288 - SHC at Jefferson Manor Rehab &amp; Wellness Center","","000")</f>
        <v>S09288 - SHC at Jefferson Manor Rehab &amp; Wellness Center</v>
      </c>
      <c r="E339" s="31" t="str">
        <f xml:space="preserve"> _xll.EPMOlapMemberO("[ACCOUNT].[H1].[PAY_PAT_DAYS]","","PAY_PAT_DAYS - Total Payor Patient Days","","000")</f>
        <v>PAY_PAT_DAYS - Total Payor Patient Days</v>
      </c>
      <c r="F339" s="233">
        <v>2075</v>
      </c>
      <c r="G339" s="233">
        <v>1876</v>
      </c>
      <c r="H339" s="233">
        <v>1775</v>
      </c>
      <c r="I339" s="233">
        <v>1960</v>
      </c>
      <c r="J339">
        <v>2266</v>
      </c>
      <c r="K339">
        <v>1871</v>
      </c>
      <c r="L339">
        <v>2047</v>
      </c>
      <c r="M339">
        <v>1834</v>
      </c>
      <c r="N339">
        <v>1964</v>
      </c>
      <c r="O339">
        <v>1618</v>
      </c>
      <c r="P339">
        <v>1861</v>
      </c>
      <c r="Q339">
        <v>2151</v>
      </c>
    </row>
    <row r="340" spans="1:17" x14ac:dyDescent="0.25">
      <c r="A340" s="29" t="str">
        <f>_xll.EVPRO("Finance",$C340,"Inv_Type")</f>
        <v>Inv_Equity</v>
      </c>
      <c r="B340" s="29" t="str">
        <f t="shared" si="10"/>
        <v>SHC at Jefferson Manor Rehab &amp; Wellness Center</v>
      </c>
      <c r="C340" s="29" t="str">
        <f t="shared" si="11"/>
        <v>S09288 - SHC at Jefferson Manor Rehab &amp; Wellness Center</v>
      </c>
      <c r="D340" s="31"/>
      <c r="E340" s="2" t="str">
        <f xml:space="preserve"> _xll.EPMOlapMemberO("[ACCOUNT].[H1].[A_BEDS_TOTAL]","","A_BEDS_TOTAL - Total Available Beds","","000")</f>
        <v>A_BEDS_TOTAL - Total Available Beds</v>
      </c>
      <c r="F340" s="233">
        <v>100</v>
      </c>
      <c r="G340" s="233">
        <v>100</v>
      </c>
      <c r="H340" s="233">
        <v>100</v>
      </c>
      <c r="I340" s="233">
        <v>100</v>
      </c>
      <c r="J340">
        <v>100</v>
      </c>
      <c r="K340">
        <v>100</v>
      </c>
      <c r="L340">
        <v>100</v>
      </c>
      <c r="M340">
        <v>100</v>
      </c>
      <c r="N340">
        <v>100</v>
      </c>
      <c r="O340">
        <v>100</v>
      </c>
      <c r="P340">
        <v>100</v>
      </c>
      <c r="Q340">
        <v>100</v>
      </c>
    </row>
    <row r="341" spans="1:17" x14ac:dyDescent="0.25">
      <c r="A341" s="29" t="str">
        <f>_xll.EVPRO("Finance",$C341,"Inv_Type")</f>
        <v>Inv_Equity</v>
      </c>
      <c r="B341" s="29" t="str">
        <f t="shared" si="10"/>
        <v>SHC at Jefferson Manor Rehab &amp; Wellness Center</v>
      </c>
      <c r="C341" s="29" t="str">
        <f t="shared" si="11"/>
        <v>S09288 - SHC at Jefferson Manor Rehab &amp; Wellness Center</v>
      </c>
      <c r="D341" s="31"/>
      <c r="E341" s="15" t="str">
        <f xml:space="preserve"> _xll.EPMOlapMemberO("[ACCOUNT].[H1].[T_REVENUES]","","T_REVENUES - Total Tenant Revenues","","000")</f>
        <v>T_REVENUES - Total Tenant Revenues</v>
      </c>
      <c r="F341" s="233">
        <v>679401</v>
      </c>
      <c r="G341" s="233">
        <v>606049</v>
      </c>
      <c r="H341" s="233">
        <v>627060</v>
      </c>
      <c r="I341" s="233">
        <v>948607</v>
      </c>
      <c r="J341">
        <v>799408</v>
      </c>
      <c r="K341">
        <v>657496</v>
      </c>
      <c r="L341">
        <v>801031</v>
      </c>
      <c r="M341">
        <v>662228</v>
      </c>
      <c r="N341">
        <v>728998</v>
      </c>
      <c r="O341">
        <v>539247</v>
      </c>
      <c r="P341">
        <v>657931</v>
      </c>
      <c r="Q341">
        <v>812017</v>
      </c>
    </row>
    <row r="342" spans="1:17" x14ac:dyDescent="0.25">
      <c r="A342" s="29" t="str">
        <f>_xll.EVPRO("Finance",$C342,"Inv_Type")</f>
        <v>Inv_Equity</v>
      </c>
      <c r="B342" s="29" t="str">
        <f t="shared" si="10"/>
        <v>SHC at Jefferson Manor Rehab &amp; Wellness Center</v>
      </c>
      <c r="C342" s="29" t="str">
        <f t="shared" si="11"/>
        <v>S09288 - SHC at Jefferson Manor Rehab &amp; Wellness Center</v>
      </c>
      <c r="D342" s="31"/>
      <c r="E342" s="15" t="str">
        <f xml:space="preserve"> _xll.EPMOlapMemberO("[ACCOUNT].[H1].[T_OPEX]","","T_OPEX - Tenant Operating Expenses","","000")</f>
        <v>T_OPEX - Tenant Operating Expenses</v>
      </c>
      <c r="F342" s="233">
        <v>620068</v>
      </c>
      <c r="G342" s="233">
        <v>600558</v>
      </c>
      <c r="H342" s="233">
        <v>552976</v>
      </c>
      <c r="I342" s="233">
        <v>799667</v>
      </c>
      <c r="J342">
        <v>654850</v>
      </c>
      <c r="K342">
        <v>615121</v>
      </c>
      <c r="L342">
        <v>626237</v>
      </c>
      <c r="M342">
        <v>530389</v>
      </c>
      <c r="N342">
        <v>639770</v>
      </c>
      <c r="O342">
        <v>540109</v>
      </c>
      <c r="P342">
        <v>528767</v>
      </c>
      <c r="Q342">
        <v>632519</v>
      </c>
    </row>
    <row r="343" spans="1:17" x14ac:dyDescent="0.25">
      <c r="A343" s="29" t="str">
        <f>_xll.EVPRO("Finance",$C343,"Inv_Type")</f>
        <v>Inv_Equity</v>
      </c>
      <c r="B343" s="29" t="str">
        <f t="shared" si="10"/>
        <v>SHC at Jefferson Manor Rehab &amp; Wellness Center</v>
      </c>
      <c r="C343" s="29" t="str">
        <f t="shared" si="11"/>
        <v>S09288 - SHC at Jefferson Manor Rehab &amp; Wellness Center</v>
      </c>
      <c r="D343" s="31"/>
      <c r="E343" s="2" t="str">
        <f xml:space="preserve"> _xll.EPMOlapMemberO("[ACCOUNT].[H1].[T_NON_OP_EXP]","","T_NON_OP_EXP - Tenant Non-Operating Expense","","000")</f>
        <v>T_NON_OP_EXP - Tenant Non-Operating Expense</v>
      </c>
      <c r="F343" s="233">
        <v>10629</v>
      </c>
      <c r="G343" s="233">
        <v>11075</v>
      </c>
      <c r="H343" s="233">
        <v>10808</v>
      </c>
      <c r="I343" s="233">
        <v>9930</v>
      </c>
      <c r="J343">
        <v>11585</v>
      </c>
      <c r="K343">
        <v>11721</v>
      </c>
      <c r="L343">
        <v>11488</v>
      </c>
      <c r="M343">
        <v>12088</v>
      </c>
      <c r="N343">
        <v>10721</v>
      </c>
      <c r="O343">
        <v>11656</v>
      </c>
      <c r="P343">
        <v>11932</v>
      </c>
      <c r="Q343">
        <v>12087</v>
      </c>
    </row>
    <row r="344" spans="1:17" x14ac:dyDescent="0.25">
      <c r="A344" s="29" t="str">
        <f>_xll.EVPRO("Finance",$C344,"Inv_Type")</f>
        <v>Inv_Equity</v>
      </c>
      <c r="B344" s="29" t="str">
        <f t="shared" si="10"/>
        <v>SHC at Jefferson Manor Rehab &amp; Wellness Center</v>
      </c>
      <c r="C344" s="29" t="str">
        <f t="shared" si="11"/>
        <v>S09288 - SHC at Jefferson Manor Rehab &amp; Wellness Center</v>
      </c>
      <c r="D344" s="31"/>
      <c r="E344" s="16" t="str">
        <f xml:space="preserve"> _xll.EPMOlapMemberO("[ACCOUNT].[H1].[T_BAD_DEBT]","","T_BAD_DEBT - Tenant Bad Debt Expense","","000")</f>
        <v>T_BAD_DEBT - Tenant Bad Debt Expense</v>
      </c>
      <c r="F344" s="233">
        <v>10000</v>
      </c>
      <c r="G344" s="233">
        <v>12500</v>
      </c>
      <c r="H344" s="233">
        <v>15000</v>
      </c>
      <c r="I344" s="233">
        <v>52642</v>
      </c>
      <c r="J344">
        <v>1500</v>
      </c>
      <c r="K344">
        <v>7500</v>
      </c>
      <c r="Q344">
        <v>5000</v>
      </c>
    </row>
    <row r="345" spans="1:17" x14ac:dyDescent="0.25">
      <c r="A345" s="29" t="str">
        <f>_xll.EVPRO("Finance",$C345,"Inv_Type")</f>
        <v>Inv_Equity</v>
      </c>
      <c r="B345" s="29" t="str">
        <f t="shared" si="10"/>
        <v>SHC at Jefferson Manor Rehab &amp; Wellness Center</v>
      </c>
      <c r="C345" s="29" t="str">
        <f t="shared" si="11"/>
        <v>S09288 - SHC at Jefferson Manor Rehab &amp; Wellness Center</v>
      </c>
      <c r="D345" s="31"/>
      <c r="E345" s="3" t="str">
        <f xml:space="preserve"> _xll.EPMOlapMemberO("[ACCOUNT].[H1].[T_EBITDARM]","","T_EBITDARM - EBITDARM","","000")</f>
        <v>T_EBITDARM - EBITDARM</v>
      </c>
      <c r="F345" s="233">
        <v>59333</v>
      </c>
      <c r="G345" s="233">
        <v>5491</v>
      </c>
      <c r="H345" s="233">
        <v>74084</v>
      </c>
      <c r="I345" s="233">
        <v>148940</v>
      </c>
      <c r="J345">
        <v>144558</v>
      </c>
      <c r="K345">
        <v>42375</v>
      </c>
      <c r="L345">
        <v>174794</v>
      </c>
      <c r="M345">
        <v>131839</v>
      </c>
      <c r="N345">
        <v>89228</v>
      </c>
      <c r="O345">
        <v>-862</v>
      </c>
      <c r="P345">
        <v>129164</v>
      </c>
      <c r="Q345">
        <v>179498</v>
      </c>
    </row>
    <row r="346" spans="1:17" x14ac:dyDescent="0.25">
      <c r="A346" s="29" t="str">
        <f>_xll.EVPRO("Finance",$C346,"Inv_Type")</f>
        <v>Inv_Equity</v>
      </c>
      <c r="B346" s="29" t="str">
        <f t="shared" si="10"/>
        <v>SHC at Jefferson Manor Rehab &amp; Wellness Center</v>
      </c>
      <c r="C346" s="29" t="str">
        <f t="shared" si="11"/>
        <v>S09288 - SHC at Jefferson Manor Rehab &amp; Wellness Center</v>
      </c>
      <c r="D346" s="31"/>
      <c r="E346" s="3" t="str">
        <f xml:space="preserve"> _xll.EPMOlapMemberO("[ACCOUNT].[H1].[T_MGMT_FEE]","","T_MGMT_FEE - Tenant Management Fee - Actual","","000")</f>
        <v>T_MGMT_FEE - Tenant Management Fee - Actual</v>
      </c>
      <c r="F346" s="233">
        <v>34249</v>
      </c>
      <c r="G346" s="233">
        <v>30605</v>
      </c>
      <c r="H346" s="233">
        <v>31667</v>
      </c>
      <c r="I346" s="233">
        <v>46862</v>
      </c>
      <c r="J346">
        <v>40412</v>
      </c>
      <c r="K346">
        <v>33204</v>
      </c>
      <c r="L346">
        <v>40452</v>
      </c>
      <c r="M346">
        <v>33442</v>
      </c>
      <c r="N346">
        <v>36814</v>
      </c>
      <c r="O346">
        <v>27232</v>
      </c>
      <c r="P346">
        <v>33226</v>
      </c>
      <c r="Q346">
        <v>41007</v>
      </c>
    </row>
    <row r="347" spans="1:17" x14ac:dyDescent="0.25">
      <c r="A347" s="29" t="str">
        <f>_xll.EVPRO("Finance",$C347,"Inv_Type")</f>
        <v>Inv_Equity</v>
      </c>
      <c r="B347" s="29" t="str">
        <f t="shared" si="10"/>
        <v>SHC at Jefferson Manor Rehab &amp; Wellness Center</v>
      </c>
      <c r="C347" s="29" t="str">
        <f t="shared" si="11"/>
        <v>S09288 - SHC at Jefferson Manor Rehab &amp; Wellness Center</v>
      </c>
      <c r="D347" s="31"/>
      <c r="E347" s="2" t="str">
        <f xml:space="preserve"> _xll.EPMOlapMemberO("[ACCOUNT].[H1].[T_EBITDAR]","","T_EBITDAR - EBITDAR","","000")</f>
        <v>T_EBITDAR - EBITDAR</v>
      </c>
      <c r="F347" s="233">
        <v>25084</v>
      </c>
      <c r="G347" s="233">
        <v>-25114</v>
      </c>
      <c r="H347" s="233">
        <v>42417</v>
      </c>
      <c r="I347" s="233">
        <v>102078</v>
      </c>
      <c r="J347">
        <v>104146</v>
      </c>
      <c r="K347">
        <v>9171</v>
      </c>
      <c r="L347">
        <v>134342</v>
      </c>
      <c r="M347">
        <v>98397</v>
      </c>
      <c r="N347">
        <v>52414</v>
      </c>
      <c r="O347">
        <v>-28094</v>
      </c>
      <c r="P347">
        <v>95938</v>
      </c>
      <c r="Q347">
        <v>138491</v>
      </c>
    </row>
    <row r="348" spans="1:17" x14ac:dyDescent="0.25">
      <c r="A348" s="29" t="str">
        <f>_xll.EVPRO("Finance",$C348,"Inv_Type")</f>
        <v>Inv_Equity</v>
      </c>
      <c r="B348" s="29" t="str">
        <f t="shared" si="10"/>
        <v>SHC at Jefferson Manor Rehab &amp; Wellness Center</v>
      </c>
      <c r="C348" s="29" t="str">
        <f t="shared" si="11"/>
        <v>S09288 - SHC at Jefferson Manor Rehab &amp; Wellness Center</v>
      </c>
      <c r="D348" s="31"/>
      <c r="E348" s="2" t="str">
        <f xml:space="preserve"> _xll.EPMOlapMemberO("[ACCOUNT].[H1].[T_RENT_EXP]","","T_RENT_EXP - Tenant Rent Expense","","000")</f>
        <v>T_RENT_EXP - Tenant Rent Expense</v>
      </c>
      <c r="F348" s="233">
        <v>5253</v>
      </c>
      <c r="G348" s="233">
        <v>5253</v>
      </c>
      <c r="H348" s="233">
        <v>5253</v>
      </c>
      <c r="I348" s="233">
        <v>5384</v>
      </c>
      <c r="J348">
        <v>5384</v>
      </c>
      <c r="K348">
        <v>5384</v>
      </c>
      <c r="L348">
        <v>5384</v>
      </c>
      <c r="M348">
        <v>5384</v>
      </c>
      <c r="N348">
        <v>5384</v>
      </c>
      <c r="O348">
        <v>5384</v>
      </c>
      <c r="P348">
        <v>5384</v>
      </c>
      <c r="Q348">
        <v>5384</v>
      </c>
    </row>
    <row r="349" spans="1:17" x14ac:dyDescent="0.25">
      <c r="A349" s="29" t="str">
        <f>_xll.EVPRO("Finance",$C349,"Inv_Type")</f>
        <v>Inv_Equity</v>
      </c>
      <c r="B349" s="29" t="str">
        <f t="shared" si="10"/>
        <v>SHC at Jefferson Place Rehab &amp; Wellness Center</v>
      </c>
      <c r="C349" s="29" t="str">
        <f t="shared" si="11"/>
        <v>S09289 - SHC at Jefferson Place Rehab &amp; Wellness Center</v>
      </c>
      <c r="D349" s="31" t="str">
        <f xml:space="preserve"> _xll.EPMOlapMemberO("[ENTITY].[H1].[S09289]","","S09289 - SHC at Jefferson Place Rehab &amp; Wellness Center","","000")</f>
        <v>S09289 - SHC at Jefferson Place Rehab &amp; Wellness Center</v>
      </c>
      <c r="E349" s="31" t="str">
        <f xml:space="preserve"> _xll.EPMOlapMemberO("[ACCOUNT].[H1].[PAY_PAT_DAYS]","","PAY_PAT_DAYS - Total Payor Patient Days","","000")</f>
        <v>PAY_PAT_DAYS - Total Payor Patient Days</v>
      </c>
      <c r="F349" s="233">
        <v>1262</v>
      </c>
      <c r="G349" s="233">
        <v>1675</v>
      </c>
      <c r="H349" s="233">
        <v>1488</v>
      </c>
      <c r="I349" s="233">
        <v>1630</v>
      </c>
      <c r="J349">
        <v>1858</v>
      </c>
      <c r="K349">
        <v>1682</v>
      </c>
      <c r="L349">
        <v>1945</v>
      </c>
      <c r="M349">
        <v>1752</v>
      </c>
      <c r="N349">
        <v>1986</v>
      </c>
      <c r="O349">
        <v>1955</v>
      </c>
      <c r="P349">
        <v>1947</v>
      </c>
      <c r="Q349">
        <v>1990</v>
      </c>
    </row>
    <row r="350" spans="1:17" x14ac:dyDescent="0.25">
      <c r="A350" s="29" t="str">
        <f>_xll.EVPRO("Finance",$C350,"Inv_Type")</f>
        <v>Inv_Equity</v>
      </c>
      <c r="B350" s="29" t="str">
        <f t="shared" si="10"/>
        <v>SHC at Jefferson Place Rehab &amp; Wellness Center</v>
      </c>
      <c r="C350" s="29" t="str">
        <f t="shared" si="11"/>
        <v>S09289 - SHC at Jefferson Place Rehab &amp; Wellness Center</v>
      </c>
      <c r="D350" s="31"/>
      <c r="E350" s="2" t="str">
        <f xml:space="preserve"> _xll.EPMOlapMemberO("[ACCOUNT].[H1].[A_BEDS_TOTAL]","","A_BEDS_TOTAL - Total Available Beds","","000")</f>
        <v>A_BEDS_TOTAL - Total Available Beds</v>
      </c>
      <c r="F350" s="233">
        <v>95</v>
      </c>
      <c r="G350" s="233">
        <v>95</v>
      </c>
      <c r="H350" s="233">
        <v>95</v>
      </c>
      <c r="I350" s="233">
        <v>95</v>
      </c>
      <c r="J350">
        <v>95</v>
      </c>
      <c r="K350">
        <v>95</v>
      </c>
      <c r="L350">
        <v>95</v>
      </c>
      <c r="M350">
        <v>95</v>
      </c>
      <c r="N350">
        <v>95</v>
      </c>
      <c r="O350">
        <v>95</v>
      </c>
      <c r="P350">
        <v>95</v>
      </c>
      <c r="Q350">
        <v>95</v>
      </c>
    </row>
    <row r="351" spans="1:17" x14ac:dyDescent="0.25">
      <c r="A351" s="29" t="str">
        <f>_xll.EVPRO("Finance",$C351,"Inv_Type")</f>
        <v>Inv_Equity</v>
      </c>
      <c r="B351" s="29" t="str">
        <f t="shared" si="10"/>
        <v>SHC at Jefferson Place Rehab &amp; Wellness Center</v>
      </c>
      <c r="C351" s="29" t="str">
        <f t="shared" si="11"/>
        <v>S09289 - SHC at Jefferson Place Rehab &amp; Wellness Center</v>
      </c>
      <c r="D351" s="31"/>
      <c r="E351" s="15" t="str">
        <f xml:space="preserve"> _xll.EPMOlapMemberO("[ACCOUNT].[H1].[T_REVENUES]","","T_REVENUES - Total Tenant Revenues","","000")</f>
        <v>T_REVENUES - Total Tenant Revenues</v>
      </c>
      <c r="F351" s="233">
        <v>532950</v>
      </c>
      <c r="G351" s="233">
        <v>717356</v>
      </c>
      <c r="H351" s="233">
        <v>709735</v>
      </c>
      <c r="I351" s="233">
        <v>1255643</v>
      </c>
      <c r="J351">
        <v>674205</v>
      </c>
      <c r="K351">
        <v>635635</v>
      </c>
      <c r="L351">
        <v>714137</v>
      </c>
      <c r="M351">
        <v>673053</v>
      </c>
      <c r="N351">
        <v>785482</v>
      </c>
      <c r="O351">
        <v>752722</v>
      </c>
      <c r="P351">
        <v>736548</v>
      </c>
      <c r="Q351">
        <v>778503</v>
      </c>
    </row>
    <row r="352" spans="1:17" x14ac:dyDescent="0.25">
      <c r="A352" s="29" t="str">
        <f>_xll.EVPRO("Finance",$C352,"Inv_Type")</f>
        <v>Inv_Equity</v>
      </c>
      <c r="B352" s="29" t="str">
        <f t="shared" si="10"/>
        <v>SHC at Jefferson Place Rehab &amp; Wellness Center</v>
      </c>
      <c r="C352" s="29" t="str">
        <f t="shared" si="11"/>
        <v>S09289 - SHC at Jefferson Place Rehab &amp; Wellness Center</v>
      </c>
      <c r="D352" s="31"/>
      <c r="E352" s="15" t="str">
        <f xml:space="preserve"> _xll.EPMOlapMemberO("[ACCOUNT].[H1].[T_OPEX]","","T_OPEX - Tenant Operating Expenses","","000")</f>
        <v>T_OPEX - Tenant Operating Expenses</v>
      </c>
      <c r="F352" s="233">
        <v>523273</v>
      </c>
      <c r="G352" s="233">
        <v>613792</v>
      </c>
      <c r="H352" s="233">
        <v>603764</v>
      </c>
      <c r="I352" s="233">
        <v>920923</v>
      </c>
      <c r="J352">
        <v>568079</v>
      </c>
      <c r="K352">
        <v>536894</v>
      </c>
      <c r="L352">
        <v>620166</v>
      </c>
      <c r="M352">
        <v>585626</v>
      </c>
      <c r="N352">
        <v>595535</v>
      </c>
      <c r="O352">
        <v>618764</v>
      </c>
      <c r="P352">
        <v>611095</v>
      </c>
      <c r="Q352">
        <v>622212</v>
      </c>
    </row>
    <row r="353" spans="1:17" x14ac:dyDescent="0.25">
      <c r="A353" s="29" t="str">
        <f>_xll.EVPRO("Finance",$C353,"Inv_Type")</f>
        <v>Inv_Equity</v>
      </c>
      <c r="B353" s="29" t="str">
        <f t="shared" si="10"/>
        <v>SHC at Jefferson Place Rehab &amp; Wellness Center</v>
      </c>
      <c r="C353" s="29" t="str">
        <f t="shared" si="11"/>
        <v>S09289 - SHC at Jefferson Place Rehab &amp; Wellness Center</v>
      </c>
      <c r="D353" s="31"/>
      <c r="E353" s="2" t="str">
        <f xml:space="preserve"> _xll.EPMOlapMemberO("[ACCOUNT].[H1].[T_NON_OP_EXP]","","T_NON_OP_EXP - Tenant Non-Operating Expense","","000")</f>
        <v>T_NON_OP_EXP - Tenant Non-Operating Expense</v>
      </c>
      <c r="F353" s="233">
        <v>11995</v>
      </c>
      <c r="G353" s="233">
        <v>11636</v>
      </c>
      <c r="H353" s="233">
        <v>11240</v>
      </c>
      <c r="I353" s="233">
        <v>7962</v>
      </c>
      <c r="J353">
        <v>9161</v>
      </c>
      <c r="K353">
        <v>9348</v>
      </c>
      <c r="L353">
        <v>9108</v>
      </c>
      <c r="M353">
        <v>10312</v>
      </c>
      <c r="N353">
        <v>8696</v>
      </c>
      <c r="O353">
        <v>10220</v>
      </c>
      <c r="P353">
        <v>10338</v>
      </c>
      <c r="Q353">
        <v>10372</v>
      </c>
    </row>
    <row r="354" spans="1:17" x14ac:dyDescent="0.25">
      <c r="A354" s="29" t="str">
        <f>_xll.EVPRO("Finance",$C354,"Inv_Type")</f>
        <v>Inv_Equity</v>
      </c>
      <c r="B354" s="29" t="str">
        <f t="shared" si="10"/>
        <v>SHC at Jefferson Place Rehab &amp; Wellness Center</v>
      </c>
      <c r="C354" s="29" t="str">
        <f t="shared" si="11"/>
        <v>S09289 - SHC at Jefferson Place Rehab &amp; Wellness Center</v>
      </c>
      <c r="D354" s="31"/>
      <c r="E354" s="16" t="str">
        <f xml:space="preserve"> _xll.EPMOlapMemberO("[ACCOUNT].[H1].[T_BAD_DEBT]","","T_BAD_DEBT - Tenant Bad Debt Expense","","000")</f>
        <v>T_BAD_DEBT - Tenant Bad Debt Expense</v>
      </c>
      <c r="F354" s="233">
        <v>15000</v>
      </c>
      <c r="G354" s="233">
        <v>25000</v>
      </c>
      <c r="H354" s="233">
        <v>25000</v>
      </c>
      <c r="I354" s="233">
        <v>30100</v>
      </c>
      <c r="J354">
        <v>12500</v>
      </c>
      <c r="K354">
        <v>10000</v>
      </c>
      <c r="M354">
        <v>5000</v>
      </c>
      <c r="O354">
        <v>12500</v>
      </c>
      <c r="P354">
        <v>5000</v>
      </c>
      <c r="Q354">
        <v>5000</v>
      </c>
    </row>
    <row r="355" spans="1:17" x14ac:dyDescent="0.25">
      <c r="A355" s="29" t="str">
        <f>_xll.EVPRO("Finance",$C355,"Inv_Type")</f>
        <v>Inv_Equity</v>
      </c>
      <c r="B355" s="29" t="str">
        <f t="shared" si="10"/>
        <v>SHC at Jefferson Place Rehab &amp; Wellness Center</v>
      </c>
      <c r="C355" s="29" t="str">
        <f t="shared" si="11"/>
        <v>S09289 - SHC at Jefferson Place Rehab &amp; Wellness Center</v>
      </c>
      <c r="D355" s="31"/>
      <c r="E355" s="3" t="str">
        <f xml:space="preserve"> _xll.EPMOlapMemberO("[ACCOUNT].[H1].[T_EBITDARM]","","T_EBITDARM - EBITDARM","","000")</f>
        <v>T_EBITDARM - EBITDARM</v>
      </c>
      <c r="F355" s="233">
        <v>9677</v>
      </c>
      <c r="G355" s="233">
        <v>103564</v>
      </c>
      <c r="H355" s="233">
        <v>105971</v>
      </c>
      <c r="I355" s="233">
        <v>334720</v>
      </c>
      <c r="J355">
        <v>106126</v>
      </c>
      <c r="K355">
        <v>98741</v>
      </c>
      <c r="L355">
        <v>93971</v>
      </c>
      <c r="M355">
        <v>87427</v>
      </c>
      <c r="N355">
        <v>189947</v>
      </c>
      <c r="O355">
        <v>133958</v>
      </c>
      <c r="P355">
        <v>125453</v>
      </c>
      <c r="Q355">
        <v>156291</v>
      </c>
    </row>
    <row r="356" spans="1:17" x14ac:dyDescent="0.25">
      <c r="A356" s="29" t="str">
        <f>_xll.EVPRO("Finance",$C356,"Inv_Type")</f>
        <v>Inv_Equity</v>
      </c>
      <c r="B356" s="29" t="str">
        <f t="shared" si="10"/>
        <v>SHC at Jefferson Place Rehab &amp; Wellness Center</v>
      </c>
      <c r="C356" s="29" t="str">
        <f t="shared" si="11"/>
        <v>S09289 - SHC at Jefferson Place Rehab &amp; Wellness Center</v>
      </c>
      <c r="D356" s="31"/>
      <c r="E356" s="3" t="str">
        <f xml:space="preserve"> _xll.EPMOlapMemberO("[ACCOUNT].[H1].[T_MGMT_FEE]","","T_MGMT_FEE - Tenant Management Fee - Actual","","000")</f>
        <v>T_MGMT_FEE - Tenant Management Fee - Actual</v>
      </c>
      <c r="F356" s="233">
        <v>26506</v>
      </c>
      <c r="G356" s="233">
        <v>36226</v>
      </c>
      <c r="H356" s="233">
        <v>35842</v>
      </c>
      <c r="I356" s="233">
        <v>70892</v>
      </c>
      <c r="J356">
        <v>34047</v>
      </c>
      <c r="K356">
        <v>32100</v>
      </c>
      <c r="L356">
        <v>36064</v>
      </c>
      <c r="M356">
        <v>33989</v>
      </c>
      <c r="N356">
        <v>39667</v>
      </c>
      <c r="O356">
        <v>38012</v>
      </c>
      <c r="P356">
        <v>37196</v>
      </c>
      <c r="Q356">
        <v>39314</v>
      </c>
    </row>
    <row r="357" spans="1:17" x14ac:dyDescent="0.25">
      <c r="A357" s="29" t="str">
        <f>_xll.EVPRO("Finance",$C357,"Inv_Type")</f>
        <v>Inv_Equity</v>
      </c>
      <c r="B357" s="29" t="str">
        <f t="shared" si="10"/>
        <v>SHC at Jefferson Place Rehab &amp; Wellness Center</v>
      </c>
      <c r="C357" s="29" t="str">
        <f t="shared" si="11"/>
        <v>S09289 - SHC at Jefferson Place Rehab &amp; Wellness Center</v>
      </c>
      <c r="D357" s="31"/>
      <c r="E357" s="2" t="str">
        <f xml:space="preserve"> _xll.EPMOlapMemberO("[ACCOUNT].[H1].[T_EBITDAR]","","T_EBITDAR - EBITDAR","","000")</f>
        <v>T_EBITDAR - EBITDAR</v>
      </c>
      <c r="F357" s="233">
        <v>-16829</v>
      </c>
      <c r="G357" s="233">
        <v>67338</v>
      </c>
      <c r="H357" s="233">
        <v>70129</v>
      </c>
      <c r="I357" s="233">
        <v>263828</v>
      </c>
      <c r="J357">
        <v>72079</v>
      </c>
      <c r="K357">
        <v>66641</v>
      </c>
      <c r="L357">
        <v>57907</v>
      </c>
      <c r="M357">
        <v>53438</v>
      </c>
      <c r="N357">
        <v>150280</v>
      </c>
      <c r="O357">
        <v>95946</v>
      </c>
      <c r="P357">
        <v>88257</v>
      </c>
      <c r="Q357">
        <v>116977</v>
      </c>
    </row>
    <row r="358" spans="1:17" x14ac:dyDescent="0.25">
      <c r="A358" s="29" t="str">
        <f>_xll.EVPRO("Finance",$C358,"Inv_Type")</f>
        <v>Inv_Equity</v>
      </c>
      <c r="B358" s="29" t="str">
        <f t="shared" si="10"/>
        <v>SHC at Jefferson Place Rehab &amp; Wellness Center</v>
      </c>
      <c r="C358" s="29" t="str">
        <f t="shared" si="11"/>
        <v>S09289 - SHC at Jefferson Place Rehab &amp; Wellness Center</v>
      </c>
      <c r="D358" s="31"/>
      <c r="E358" s="2" t="str">
        <f xml:space="preserve"> _xll.EPMOlapMemberO("[ACCOUNT].[H1].[T_RENT_EXP]","","T_RENT_EXP - Tenant Rent Expense","","000")</f>
        <v>T_RENT_EXP - Tenant Rent Expense</v>
      </c>
      <c r="F358" s="233">
        <v>75428</v>
      </c>
      <c r="G358" s="233">
        <v>75428</v>
      </c>
      <c r="H358" s="233">
        <v>75428</v>
      </c>
      <c r="I358" s="233">
        <v>77313</v>
      </c>
      <c r="J358">
        <v>77313</v>
      </c>
      <c r="K358">
        <v>77313</v>
      </c>
      <c r="L358">
        <v>77313</v>
      </c>
      <c r="M358">
        <v>77313</v>
      </c>
      <c r="N358">
        <v>77313</v>
      </c>
      <c r="O358">
        <v>77313</v>
      </c>
      <c r="P358">
        <v>77313</v>
      </c>
      <c r="Q358">
        <v>77313</v>
      </c>
    </row>
    <row r="359" spans="1:17" x14ac:dyDescent="0.25">
      <c r="A359" s="29" t="str">
        <f>_xll.EVPRO("Finance",$C359,"Inv_Type")</f>
        <v>Inv_Equity</v>
      </c>
      <c r="B359" s="29" t="str">
        <f t="shared" si="10"/>
        <v>SHC of Monroe County Rehab &amp; Wellness Center</v>
      </c>
      <c r="C359" s="29" t="str">
        <f t="shared" si="11"/>
        <v>S09290 - SHC of Monroe County Rehab &amp; Wellness Center</v>
      </c>
      <c r="D359" s="31" t="str">
        <f xml:space="preserve"> _xll.EPMOlapMemberO("[ENTITY].[H1].[S09290]","","S09290 - SHC of Monroe County Rehab &amp; Wellness Center","","000")</f>
        <v>S09290 - SHC of Monroe County Rehab &amp; Wellness Center</v>
      </c>
      <c r="E359" s="31" t="str">
        <f xml:space="preserve"> _xll.EPMOlapMemberO("[ACCOUNT].[H1].[PAY_PAT_DAYS]","","PAY_PAT_DAYS - Total Payor Patient Days","","000")</f>
        <v>PAY_PAT_DAYS - Total Payor Patient Days</v>
      </c>
      <c r="F359" s="233">
        <v>2945</v>
      </c>
      <c r="G359" s="233">
        <v>2964</v>
      </c>
      <c r="H359" s="233">
        <v>2395</v>
      </c>
      <c r="I359" s="233">
        <v>2300</v>
      </c>
      <c r="J359">
        <v>2513</v>
      </c>
      <c r="K359">
        <v>2245</v>
      </c>
      <c r="L359">
        <v>2626</v>
      </c>
      <c r="M359">
        <v>2682</v>
      </c>
      <c r="N359">
        <v>2809</v>
      </c>
      <c r="O359">
        <v>2751</v>
      </c>
      <c r="P359">
        <v>2725</v>
      </c>
      <c r="Q359">
        <v>2664</v>
      </c>
    </row>
    <row r="360" spans="1:17" x14ac:dyDescent="0.25">
      <c r="A360" s="29" t="str">
        <f>_xll.EVPRO("Finance",$C360,"Inv_Type")</f>
        <v>Inv_Equity</v>
      </c>
      <c r="B360" s="29" t="str">
        <f t="shared" si="10"/>
        <v>SHC of Monroe County Rehab &amp; Wellness Center</v>
      </c>
      <c r="C360" s="29" t="str">
        <f t="shared" si="11"/>
        <v>S09290 - SHC of Monroe County Rehab &amp; Wellness Center</v>
      </c>
      <c r="D360" s="31"/>
      <c r="E360" s="2" t="str">
        <f xml:space="preserve"> _xll.EPMOlapMemberO("[ACCOUNT].[H1].[A_BEDS_TOTAL]","","A_BEDS_TOTAL - Total Available Beds","","000")</f>
        <v>A_BEDS_TOTAL - Total Available Beds</v>
      </c>
      <c r="F360" s="233">
        <v>104</v>
      </c>
      <c r="G360" s="233">
        <v>104</v>
      </c>
      <c r="H360" s="233">
        <v>104</v>
      </c>
      <c r="I360" s="233">
        <v>104</v>
      </c>
      <c r="J360">
        <v>104</v>
      </c>
      <c r="K360">
        <v>104</v>
      </c>
      <c r="L360">
        <v>104</v>
      </c>
      <c r="M360">
        <v>104</v>
      </c>
      <c r="N360">
        <v>104</v>
      </c>
      <c r="O360">
        <v>104</v>
      </c>
      <c r="P360">
        <v>104</v>
      </c>
      <c r="Q360">
        <v>104</v>
      </c>
    </row>
    <row r="361" spans="1:17" x14ac:dyDescent="0.25">
      <c r="A361" s="29" t="str">
        <f>_xll.EVPRO("Finance",$C361,"Inv_Type")</f>
        <v>Inv_Equity</v>
      </c>
      <c r="B361" s="29" t="str">
        <f t="shared" si="10"/>
        <v>SHC of Monroe County Rehab &amp; Wellness Center</v>
      </c>
      <c r="C361" s="29" t="str">
        <f t="shared" si="11"/>
        <v>S09290 - SHC of Monroe County Rehab &amp; Wellness Center</v>
      </c>
      <c r="D361" s="31"/>
      <c r="E361" s="15" t="str">
        <f xml:space="preserve"> _xll.EPMOlapMemberO("[ACCOUNT].[H1].[T_REVENUES]","","T_REVENUES - Total Tenant Revenues","","000")</f>
        <v>T_REVENUES - Total Tenant Revenues</v>
      </c>
      <c r="F361" s="233">
        <v>704892</v>
      </c>
      <c r="G361" s="233">
        <v>765268</v>
      </c>
      <c r="H361" s="233">
        <v>963700</v>
      </c>
      <c r="I361" s="233">
        <v>974149</v>
      </c>
      <c r="J361">
        <v>815741</v>
      </c>
      <c r="K361">
        <v>686707</v>
      </c>
      <c r="L361">
        <v>856308</v>
      </c>
      <c r="M361">
        <v>759442</v>
      </c>
      <c r="N361">
        <v>766298</v>
      </c>
      <c r="O361">
        <v>745223</v>
      </c>
      <c r="P361">
        <v>772683</v>
      </c>
      <c r="Q361">
        <v>765236</v>
      </c>
    </row>
    <row r="362" spans="1:17" x14ac:dyDescent="0.25">
      <c r="A362" s="29" t="str">
        <f>_xll.EVPRO("Finance",$C362,"Inv_Type")</f>
        <v>Inv_Equity</v>
      </c>
      <c r="B362" s="29" t="str">
        <f t="shared" si="10"/>
        <v>SHC of Monroe County Rehab &amp; Wellness Center</v>
      </c>
      <c r="C362" s="29" t="str">
        <f t="shared" si="11"/>
        <v>S09290 - SHC of Monroe County Rehab &amp; Wellness Center</v>
      </c>
      <c r="D362" s="31"/>
      <c r="E362" s="15" t="str">
        <f xml:space="preserve"> _xll.EPMOlapMemberO("[ACCOUNT].[H1].[T_OPEX]","","T_OPEX - Tenant Operating Expenses","","000")</f>
        <v>T_OPEX - Tenant Operating Expenses</v>
      </c>
      <c r="F362" s="233">
        <v>577607</v>
      </c>
      <c r="G362" s="233">
        <v>594300</v>
      </c>
      <c r="H362" s="233">
        <v>630885</v>
      </c>
      <c r="I362" s="233">
        <v>958998</v>
      </c>
      <c r="J362">
        <v>644068</v>
      </c>
      <c r="K362">
        <v>512802</v>
      </c>
      <c r="L362">
        <v>585567</v>
      </c>
      <c r="M362">
        <v>538855</v>
      </c>
      <c r="N362">
        <v>636886</v>
      </c>
      <c r="O362">
        <v>602470</v>
      </c>
      <c r="P362">
        <v>618710</v>
      </c>
      <c r="Q362">
        <v>591508</v>
      </c>
    </row>
    <row r="363" spans="1:17" x14ac:dyDescent="0.25">
      <c r="A363" s="29" t="str">
        <f>_xll.EVPRO("Finance",$C363,"Inv_Type")</f>
        <v>Inv_Equity</v>
      </c>
      <c r="B363" s="29" t="str">
        <f t="shared" si="10"/>
        <v>SHC of Monroe County Rehab &amp; Wellness Center</v>
      </c>
      <c r="C363" s="29" t="str">
        <f t="shared" si="11"/>
        <v>S09290 - SHC of Monroe County Rehab &amp; Wellness Center</v>
      </c>
      <c r="D363" s="31"/>
      <c r="E363" s="2" t="str">
        <f xml:space="preserve"> _xll.EPMOlapMemberO("[ACCOUNT].[H1].[T_NON_OP_EXP]","","T_NON_OP_EXP - Tenant Non-Operating Expense","","000")</f>
        <v>T_NON_OP_EXP - Tenant Non-Operating Expense</v>
      </c>
      <c r="F363" s="233">
        <v>11820</v>
      </c>
      <c r="G363" s="233">
        <v>12365</v>
      </c>
      <c r="H363" s="233">
        <v>12195</v>
      </c>
      <c r="I363" s="233">
        <v>8547</v>
      </c>
      <c r="J363">
        <v>9650</v>
      </c>
      <c r="K363">
        <v>10530</v>
      </c>
      <c r="L363">
        <v>9587</v>
      </c>
      <c r="M363">
        <v>11019</v>
      </c>
      <c r="N363">
        <v>9784</v>
      </c>
      <c r="O363">
        <v>10858</v>
      </c>
      <c r="P363">
        <v>11414</v>
      </c>
      <c r="Q363">
        <v>10743</v>
      </c>
    </row>
    <row r="364" spans="1:17" x14ac:dyDescent="0.25">
      <c r="A364" s="29" t="str">
        <f>_xll.EVPRO("Finance",$C364,"Inv_Type")</f>
        <v>Inv_Equity</v>
      </c>
      <c r="B364" s="29" t="str">
        <f t="shared" si="10"/>
        <v>SHC of Monroe County Rehab &amp; Wellness Center</v>
      </c>
      <c r="C364" s="29" t="str">
        <f t="shared" si="11"/>
        <v>S09290 - SHC of Monroe County Rehab &amp; Wellness Center</v>
      </c>
      <c r="D364" s="31"/>
      <c r="E364" s="16" t="str">
        <f xml:space="preserve"> _xll.EPMOlapMemberO("[ACCOUNT].[H1].[T_BAD_DEBT]","","T_BAD_DEBT - Tenant Bad Debt Expense","","000")</f>
        <v>T_BAD_DEBT - Tenant Bad Debt Expense</v>
      </c>
      <c r="F364" s="233">
        <v>7500</v>
      </c>
      <c r="G364" s="233">
        <v>9592</v>
      </c>
      <c r="H364" s="233">
        <v>15000</v>
      </c>
      <c r="I364" s="233">
        <v>59228</v>
      </c>
      <c r="J364">
        <v>20000</v>
      </c>
      <c r="K364">
        <v>15000</v>
      </c>
      <c r="M364">
        <v>5000</v>
      </c>
      <c r="O364">
        <v>16000</v>
      </c>
      <c r="P364">
        <v>15000</v>
      </c>
      <c r="Q364">
        <v>7500</v>
      </c>
    </row>
    <row r="365" spans="1:17" x14ac:dyDescent="0.25">
      <c r="A365" s="29" t="str">
        <f>_xll.EVPRO("Finance",$C365,"Inv_Type")</f>
        <v>Inv_Equity</v>
      </c>
      <c r="B365" s="29" t="str">
        <f t="shared" si="10"/>
        <v>SHC of Monroe County Rehab &amp; Wellness Center</v>
      </c>
      <c r="C365" s="29" t="str">
        <f t="shared" si="11"/>
        <v>S09290 - SHC of Monroe County Rehab &amp; Wellness Center</v>
      </c>
      <c r="D365" s="31"/>
      <c r="E365" s="3" t="str">
        <f xml:space="preserve"> _xll.EPMOlapMemberO("[ACCOUNT].[H1].[T_EBITDARM]","","T_EBITDARM - EBITDARM","","000")</f>
        <v>T_EBITDARM - EBITDARM</v>
      </c>
      <c r="F365" s="233">
        <v>127285</v>
      </c>
      <c r="G365" s="233">
        <v>170968</v>
      </c>
      <c r="H365" s="233">
        <v>332815</v>
      </c>
      <c r="I365" s="233">
        <v>15151</v>
      </c>
      <c r="J365">
        <v>171673</v>
      </c>
      <c r="K365">
        <v>173905</v>
      </c>
      <c r="L365">
        <v>270741</v>
      </c>
      <c r="M365">
        <v>220587</v>
      </c>
      <c r="N365">
        <v>129412</v>
      </c>
      <c r="O365">
        <v>142753</v>
      </c>
      <c r="P365">
        <v>153973</v>
      </c>
      <c r="Q365">
        <v>173728</v>
      </c>
    </row>
    <row r="366" spans="1:17" x14ac:dyDescent="0.25">
      <c r="A366" s="29" t="str">
        <f>_xll.EVPRO("Finance",$C366,"Inv_Type")</f>
        <v>Inv_Equity</v>
      </c>
      <c r="B366" s="29" t="str">
        <f t="shared" si="10"/>
        <v>SHC of Monroe County Rehab &amp; Wellness Center</v>
      </c>
      <c r="C366" s="29" t="str">
        <f t="shared" si="11"/>
        <v>S09290 - SHC of Monroe County Rehab &amp; Wellness Center</v>
      </c>
      <c r="D366" s="31"/>
      <c r="E366" s="3" t="str">
        <f xml:space="preserve"> _xll.EPMOlapMemberO("[ACCOUNT].[H1].[T_MGMT_FEE]","","T_MGMT_FEE - Tenant Management Fee - Actual","","000")</f>
        <v>T_MGMT_FEE - Tenant Management Fee - Actual</v>
      </c>
      <c r="F366" s="233">
        <v>35597</v>
      </c>
      <c r="G366" s="233">
        <v>38646</v>
      </c>
      <c r="H366" s="233">
        <v>48667</v>
      </c>
      <c r="I366" s="233">
        <v>43540</v>
      </c>
      <c r="J366">
        <v>41195</v>
      </c>
      <c r="K366">
        <v>34679</v>
      </c>
      <c r="L366">
        <v>43243</v>
      </c>
      <c r="M366">
        <v>38352</v>
      </c>
      <c r="N366">
        <v>38698</v>
      </c>
      <c r="O366">
        <v>37634</v>
      </c>
      <c r="P366">
        <v>39021</v>
      </c>
      <c r="Q366">
        <v>38644</v>
      </c>
    </row>
    <row r="367" spans="1:17" x14ac:dyDescent="0.25">
      <c r="A367" s="29" t="str">
        <f>_xll.EVPRO("Finance",$C367,"Inv_Type")</f>
        <v>Inv_Equity</v>
      </c>
      <c r="B367" s="29" t="str">
        <f t="shared" si="10"/>
        <v>SHC of Monroe County Rehab &amp; Wellness Center</v>
      </c>
      <c r="C367" s="29" t="str">
        <f t="shared" si="11"/>
        <v>S09290 - SHC of Monroe County Rehab &amp; Wellness Center</v>
      </c>
      <c r="D367" s="31"/>
      <c r="E367" s="2" t="str">
        <f xml:space="preserve"> _xll.EPMOlapMemberO("[ACCOUNT].[H1].[T_EBITDAR]","","T_EBITDAR - EBITDAR","","000")</f>
        <v>T_EBITDAR - EBITDAR</v>
      </c>
      <c r="F367" s="233">
        <v>91688</v>
      </c>
      <c r="G367" s="233">
        <v>132322</v>
      </c>
      <c r="H367" s="233">
        <v>284148</v>
      </c>
      <c r="I367" s="233">
        <v>-28389</v>
      </c>
      <c r="J367">
        <v>130478</v>
      </c>
      <c r="K367">
        <v>139226</v>
      </c>
      <c r="L367">
        <v>227498</v>
      </c>
      <c r="M367">
        <v>182235</v>
      </c>
      <c r="N367">
        <v>90714</v>
      </c>
      <c r="O367">
        <v>105119</v>
      </c>
      <c r="P367">
        <v>114952</v>
      </c>
      <c r="Q367">
        <v>135084</v>
      </c>
    </row>
    <row r="368" spans="1:17" x14ac:dyDescent="0.25">
      <c r="A368" s="29" t="str">
        <f>_xll.EVPRO("Finance",$C368,"Inv_Type")</f>
        <v>Inv_Equity</v>
      </c>
      <c r="B368" s="29" t="str">
        <f t="shared" si="10"/>
        <v>SHC of Monroe County Rehab &amp; Wellness Center</v>
      </c>
      <c r="C368" s="29" t="str">
        <f t="shared" si="11"/>
        <v>S09290 - SHC of Monroe County Rehab &amp; Wellness Center</v>
      </c>
      <c r="D368" s="31"/>
      <c r="E368" s="2" t="str">
        <f xml:space="preserve"> _xll.EPMOlapMemberO("[ACCOUNT].[H1].[T_RENT_EXP]","","T_RENT_EXP - Tenant Rent Expense","","000")</f>
        <v>T_RENT_EXP - Tenant Rent Expense</v>
      </c>
      <c r="F368" s="233">
        <v>109651</v>
      </c>
      <c r="G368" s="233">
        <v>109651</v>
      </c>
      <c r="H368" s="233">
        <v>109651</v>
      </c>
      <c r="I368" s="233">
        <v>112392</v>
      </c>
      <c r="J368">
        <v>112392</v>
      </c>
      <c r="K368">
        <v>112392</v>
      </c>
      <c r="L368">
        <v>112392</v>
      </c>
      <c r="M368">
        <v>112392</v>
      </c>
      <c r="N368">
        <v>112392</v>
      </c>
      <c r="O368">
        <v>112392</v>
      </c>
      <c r="P368">
        <v>112392</v>
      </c>
      <c r="Q368">
        <v>112392</v>
      </c>
    </row>
    <row r="369" spans="1:17" x14ac:dyDescent="0.25">
      <c r="A369" s="29" t="str">
        <f>_xll.EVPRO("Finance",$C369,"Inv_Type")</f>
        <v>Inv_Equity</v>
      </c>
      <c r="B369" s="29" t="str">
        <f t="shared" si="10"/>
        <v>SHC at North Hardin Rehab &amp; Wellness Center</v>
      </c>
      <c r="C369" s="29" t="str">
        <f t="shared" si="11"/>
        <v>S09291 - SHC at North Hardin Rehab &amp; Wellness Center</v>
      </c>
      <c r="D369" s="31" t="str">
        <f xml:space="preserve"> _xll.EPMOlapMemberO("[ENTITY].[H1].[S09291]","","S09291 - SHC at North Hardin Rehab &amp; Wellness Center","","000")</f>
        <v>S09291 - SHC at North Hardin Rehab &amp; Wellness Center</v>
      </c>
      <c r="E369" s="31" t="str">
        <f xml:space="preserve"> _xll.EPMOlapMemberO("[ACCOUNT].[H1].[PAY_PAT_DAYS]","","PAY_PAT_DAYS - Total Payor Patient Days","","000")</f>
        <v>PAY_PAT_DAYS - Total Payor Patient Days</v>
      </c>
      <c r="F369" s="233">
        <v>3659</v>
      </c>
      <c r="G369" s="233">
        <v>3508</v>
      </c>
      <c r="H369" s="233">
        <v>2908</v>
      </c>
      <c r="I369" s="233">
        <v>3140</v>
      </c>
      <c r="J369">
        <v>3279</v>
      </c>
      <c r="K369">
        <v>2983</v>
      </c>
      <c r="L369">
        <v>3478</v>
      </c>
      <c r="M369">
        <v>3294</v>
      </c>
      <c r="N369">
        <v>3363</v>
      </c>
      <c r="O369">
        <v>3110</v>
      </c>
      <c r="P369">
        <v>3237</v>
      </c>
      <c r="Q369">
        <v>3409</v>
      </c>
    </row>
    <row r="370" spans="1:17" x14ac:dyDescent="0.25">
      <c r="A370" s="29" t="str">
        <f>_xll.EVPRO("Finance",$C370,"Inv_Type")</f>
        <v>Inv_Equity</v>
      </c>
      <c r="B370" s="29" t="str">
        <f t="shared" si="10"/>
        <v>SHC at North Hardin Rehab &amp; Wellness Center</v>
      </c>
      <c r="C370" s="29" t="str">
        <f t="shared" si="11"/>
        <v>S09291 - SHC at North Hardin Rehab &amp; Wellness Center</v>
      </c>
      <c r="D370" s="31"/>
      <c r="E370" s="2" t="str">
        <f xml:space="preserve"> _xll.EPMOlapMemberO("[ACCOUNT].[H1].[A_BEDS_TOTAL]","","A_BEDS_TOTAL - Total Available Beds","","000")</f>
        <v>A_BEDS_TOTAL - Total Available Beds</v>
      </c>
      <c r="F370" s="233">
        <v>161</v>
      </c>
      <c r="G370" s="233">
        <v>161</v>
      </c>
      <c r="H370" s="233">
        <v>161</v>
      </c>
      <c r="I370" s="233">
        <v>161</v>
      </c>
      <c r="J370">
        <v>161</v>
      </c>
      <c r="K370">
        <v>161</v>
      </c>
      <c r="L370">
        <v>161</v>
      </c>
      <c r="M370">
        <v>161</v>
      </c>
      <c r="N370">
        <v>161</v>
      </c>
      <c r="O370">
        <v>161</v>
      </c>
      <c r="P370">
        <v>161</v>
      </c>
      <c r="Q370">
        <v>161</v>
      </c>
    </row>
    <row r="371" spans="1:17" x14ac:dyDescent="0.25">
      <c r="A371" s="29" t="str">
        <f>_xll.EVPRO("Finance",$C371,"Inv_Type")</f>
        <v>Inv_Equity</v>
      </c>
      <c r="B371" s="29" t="str">
        <f t="shared" si="10"/>
        <v>SHC at North Hardin Rehab &amp; Wellness Center</v>
      </c>
      <c r="C371" s="29" t="str">
        <f t="shared" si="11"/>
        <v>S09291 - SHC at North Hardin Rehab &amp; Wellness Center</v>
      </c>
      <c r="D371" s="31"/>
      <c r="E371" s="15" t="str">
        <f xml:space="preserve"> _xll.EPMOlapMemberO("[ACCOUNT].[H1].[T_REVENUES]","","T_REVENUES - Total Tenant Revenues","","000")</f>
        <v>T_REVENUES - Total Tenant Revenues</v>
      </c>
      <c r="F371" s="233">
        <v>1132392</v>
      </c>
      <c r="G371" s="233">
        <v>1178651</v>
      </c>
      <c r="H371" s="233">
        <v>1376659</v>
      </c>
      <c r="I371" s="233">
        <v>1369414</v>
      </c>
      <c r="J371">
        <v>1019008</v>
      </c>
      <c r="K371">
        <v>819233</v>
      </c>
      <c r="L371">
        <v>1207812</v>
      </c>
      <c r="M371">
        <v>1030213</v>
      </c>
      <c r="N371">
        <v>1042658</v>
      </c>
      <c r="O371">
        <v>923083</v>
      </c>
      <c r="P371">
        <v>1005638</v>
      </c>
      <c r="Q371">
        <v>1076441</v>
      </c>
    </row>
    <row r="372" spans="1:17" x14ac:dyDescent="0.25">
      <c r="A372" s="29" t="str">
        <f>_xll.EVPRO("Finance",$C372,"Inv_Type")</f>
        <v>Inv_Equity</v>
      </c>
      <c r="B372" s="29" t="str">
        <f t="shared" si="10"/>
        <v>SHC at North Hardin Rehab &amp; Wellness Center</v>
      </c>
      <c r="C372" s="29" t="str">
        <f t="shared" si="11"/>
        <v>S09291 - SHC at North Hardin Rehab &amp; Wellness Center</v>
      </c>
      <c r="D372" s="31"/>
      <c r="E372" s="15" t="str">
        <f xml:space="preserve"> _xll.EPMOlapMemberO("[ACCOUNT].[H1].[T_OPEX]","","T_OPEX - Tenant Operating Expenses","","000")</f>
        <v>T_OPEX - Tenant Operating Expenses</v>
      </c>
      <c r="F372" s="233">
        <v>861365</v>
      </c>
      <c r="G372" s="233">
        <v>888234</v>
      </c>
      <c r="H372" s="233">
        <v>1185424</v>
      </c>
      <c r="I372" s="233">
        <v>1273140</v>
      </c>
      <c r="J372">
        <v>915755</v>
      </c>
      <c r="K372">
        <v>806905</v>
      </c>
      <c r="L372">
        <v>902633</v>
      </c>
      <c r="M372">
        <v>796588</v>
      </c>
      <c r="N372">
        <v>813115</v>
      </c>
      <c r="O372">
        <v>760072</v>
      </c>
      <c r="P372">
        <v>776167</v>
      </c>
      <c r="Q372">
        <v>842253</v>
      </c>
    </row>
    <row r="373" spans="1:17" x14ac:dyDescent="0.25">
      <c r="A373" s="29" t="str">
        <f>_xll.EVPRO("Finance",$C373,"Inv_Type")</f>
        <v>Inv_Equity</v>
      </c>
      <c r="B373" s="29" t="str">
        <f t="shared" si="10"/>
        <v>SHC at North Hardin Rehab &amp; Wellness Center</v>
      </c>
      <c r="C373" s="29" t="str">
        <f t="shared" si="11"/>
        <v>S09291 - SHC at North Hardin Rehab &amp; Wellness Center</v>
      </c>
      <c r="D373" s="31"/>
      <c r="E373" s="2" t="str">
        <f xml:space="preserve"> _xll.EPMOlapMemberO("[ACCOUNT].[H1].[T_NON_OP_EXP]","","T_NON_OP_EXP - Tenant Non-Operating Expense","","000")</f>
        <v>T_NON_OP_EXP - Tenant Non-Operating Expense</v>
      </c>
      <c r="F373" s="233">
        <v>22628</v>
      </c>
      <c r="G373" s="233">
        <v>23493</v>
      </c>
      <c r="H373" s="233">
        <v>23209</v>
      </c>
      <c r="I373" s="233">
        <v>16036</v>
      </c>
      <c r="J373">
        <v>19472</v>
      </c>
      <c r="K373">
        <v>19130</v>
      </c>
      <c r="L373">
        <v>18849</v>
      </c>
      <c r="M373">
        <v>22709</v>
      </c>
      <c r="N373">
        <v>16948</v>
      </c>
      <c r="O373">
        <v>20309</v>
      </c>
      <c r="P373">
        <v>21540</v>
      </c>
      <c r="Q373">
        <v>22399</v>
      </c>
    </row>
    <row r="374" spans="1:17" x14ac:dyDescent="0.25">
      <c r="A374" s="29" t="str">
        <f>_xll.EVPRO("Finance",$C374,"Inv_Type")</f>
        <v>Inv_Equity</v>
      </c>
      <c r="B374" s="29" t="str">
        <f t="shared" si="10"/>
        <v>SHC at North Hardin Rehab &amp; Wellness Center</v>
      </c>
      <c r="C374" s="29" t="str">
        <f t="shared" si="11"/>
        <v>S09291 - SHC at North Hardin Rehab &amp; Wellness Center</v>
      </c>
      <c r="D374" s="31"/>
      <c r="E374" s="16" t="str">
        <f xml:space="preserve"> _xll.EPMOlapMemberO("[ACCOUNT].[H1].[T_BAD_DEBT]","","T_BAD_DEBT - Tenant Bad Debt Expense","","000")</f>
        <v>T_BAD_DEBT - Tenant Bad Debt Expense</v>
      </c>
      <c r="F374" s="233">
        <v>10000</v>
      </c>
      <c r="G374" s="233">
        <v>17211</v>
      </c>
      <c r="H374" s="233">
        <v>17500</v>
      </c>
      <c r="I374" s="233">
        <v>43785</v>
      </c>
      <c r="J374">
        <v>15000</v>
      </c>
      <c r="K374">
        <v>20000</v>
      </c>
      <c r="M374">
        <v>5000</v>
      </c>
      <c r="P374">
        <v>15000</v>
      </c>
    </row>
    <row r="375" spans="1:17" x14ac:dyDescent="0.25">
      <c r="A375" s="29" t="str">
        <f>_xll.EVPRO("Finance",$C375,"Inv_Type")</f>
        <v>Inv_Equity</v>
      </c>
      <c r="B375" s="29" t="str">
        <f t="shared" si="10"/>
        <v>SHC at North Hardin Rehab &amp; Wellness Center</v>
      </c>
      <c r="C375" s="29" t="str">
        <f t="shared" si="11"/>
        <v>S09291 - SHC at North Hardin Rehab &amp; Wellness Center</v>
      </c>
      <c r="D375" s="31"/>
      <c r="E375" s="3" t="str">
        <f xml:space="preserve"> _xll.EPMOlapMemberO("[ACCOUNT].[H1].[T_EBITDARM]","","T_EBITDARM - EBITDARM","","000")</f>
        <v>T_EBITDARM - EBITDARM</v>
      </c>
      <c r="F375" s="233">
        <v>271027</v>
      </c>
      <c r="G375" s="233">
        <v>290417</v>
      </c>
      <c r="H375" s="233">
        <v>191235</v>
      </c>
      <c r="I375" s="233">
        <v>96274</v>
      </c>
      <c r="J375">
        <v>103253</v>
      </c>
      <c r="K375">
        <v>12328</v>
      </c>
      <c r="L375">
        <v>305179</v>
      </c>
      <c r="M375">
        <v>233625</v>
      </c>
      <c r="N375">
        <v>229543</v>
      </c>
      <c r="O375">
        <v>163011</v>
      </c>
      <c r="P375">
        <v>229471</v>
      </c>
      <c r="Q375">
        <v>234188</v>
      </c>
    </row>
    <row r="376" spans="1:17" x14ac:dyDescent="0.25">
      <c r="A376" s="29" t="str">
        <f>_xll.EVPRO("Finance",$C376,"Inv_Type")</f>
        <v>Inv_Equity</v>
      </c>
      <c r="B376" s="29" t="str">
        <f t="shared" si="10"/>
        <v>SHC at North Hardin Rehab &amp; Wellness Center</v>
      </c>
      <c r="C376" s="29" t="str">
        <f t="shared" si="11"/>
        <v>S09291 - SHC at North Hardin Rehab &amp; Wellness Center</v>
      </c>
      <c r="D376" s="31"/>
      <c r="E376" s="3" t="str">
        <f xml:space="preserve"> _xll.EPMOlapMemberO("[ACCOUNT].[H1].[T_MGMT_FEE]","","T_MGMT_FEE - Tenant Management Fee - Actual","","000")</f>
        <v>T_MGMT_FEE - Tenant Management Fee - Actual</v>
      </c>
      <c r="F376" s="233">
        <v>56830</v>
      </c>
      <c r="G376" s="233">
        <v>59522</v>
      </c>
      <c r="H376" s="233">
        <v>69521</v>
      </c>
      <c r="I376" s="233">
        <v>69038</v>
      </c>
      <c r="J376">
        <v>51796</v>
      </c>
      <c r="K376">
        <v>41371</v>
      </c>
      <c r="L376">
        <v>60995</v>
      </c>
      <c r="M376">
        <v>52026</v>
      </c>
      <c r="N376">
        <v>52654</v>
      </c>
      <c r="O376">
        <v>46616</v>
      </c>
      <c r="P376">
        <v>50785</v>
      </c>
      <c r="Q376">
        <v>54360</v>
      </c>
    </row>
    <row r="377" spans="1:17" x14ac:dyDescent="0.25">
      <c r="A377" s="29" t="str">
        <f>_xll.EVPRO("Finance",$C377,"Inv_Type")</f>
        <v>Inv_Equity</v>
      </c>
      <c r="B377" s="29" t="str">
        <f t="shared" si="10"/>
        <v>SHC at North Hardin Rehab &amp; Wellness Center</v>
      </c>
      <c r="C377" s="29" t="str">
        <f t="shared" si="11"/>
        <v>S09291 - SHC at North Hardin Rehab &amp; Wellness Center</v>
      </c>
      <c r="D377" s="31"/>
      <c r="E377" s="2" t="str">
        <f xml:space="preserve"> _xll.EPMOlapMemberO("[ACCOUNT].[H1].[T_EBITDAR]","","T_EBITDAR - EBITDAR","","000")</f>
        <v>T_EBITDAR - EBITDAR</v>
      </c>
      <c r="F377" s="233">
        <v>214197</v>
      </c>
      <c r="G377" s="233">
        <v>230895</v>
      </c>
      <c r="H377" s="233">
        <v>121714</v>
      </c>
      <c r="I377" s="233">
        <v>27236</v>
      </c>
      <c r="J377">
        <v>51457</v>
      </c>
      <c r="K377">
        <v>-29043</v>
      </c>
      <c r="L377">
        <v>244184</v>
      </c>
      <c r="M377">
        <v>181599</v>
      </c>
      <c r="N377">
        <v>176889</v>
      </c>
      <c r="O377">
        <v>116395</v>
      </c>
      <c r="P377">
        <v>178686</v>
      </c>
      <c r="Q377">
        <v>179828</v>
      </c>
    </row>
    <row r="378" spans="1:17" x14ac:dyDescent="0.25">
      <c r="A378" s="29" t="str">
        <f>_xll.EVPRO("Finance",$C378,"Inv_Type")</f>
        <v>Inv_Equity</v>
      </c>
      <c r="B378" s="29" t="str">
        <f t="shared" si="10"/>
        <v>SHC at North Hardin Rehab &amp; Wellness Center</v>
      </c>
      <c r="C378" s="29" t="str">
        <f t="shared" si="11"/>
        <v>S09291 - SHC at North Hardin Rehab &amp; Wellness Center</v>
      </c>
      <c r="D378" s="31"/>
      <c r="E378" s="2" t="str">
        <f xml:space="preserve"> _xll.EPMOlapMemberO("[ACCOUNT].[H1].[T_RENT_EXP]","","T_RENT_EXP - Tenant Rent Expense","","000")</f>
        <v>T_RENT_EXP - Tenant Rent Expense</v>
      </c>
      <c r="F378" s="233">
        <v>116464</v>
      </c>
      <c r="G378" s="233">
        <v>116464</v>
      </c>
      <c r="H378" s="233">
        <v>116464</v>
      </c>
      <c r="I378" s="233">
        <v>119376</v>
      </c>
      <c r="J378">
        <v>119376</v>
      </c>
      <c r="K378">
        <v>119376</v>
      </c>
      <c r="L378">
        <v>119376</v>
      </c>
      <c r="M378">
        <v>119376</v>
      </c>
      <c r="N378">
        <v>119376</v>
      </c>
      <c r="O378">
        <v>119376</v>
      </c>
      <c r="P378">
        <v>119376</v>
      </c>
      <c r="Q378">
        <v>119376</v>
      </c>
    </row>
    <row r="379" spans="1:17" x14ac:dyDescent="0.25">
      <c r="A379" s="29" t="str">
        <f>_xll.EVPRO("Finance",$C379,"Inv_Type")</f>
        <v>Inv_Equity</v>
      </c>
      <c r="B379" s="29" t="str">
        <f t="shared" ref="B379:B442" si="12">MID($C379,FIND("- ",$C379)+2,10000)</f>
        <v>SHC of Hartford Rehab &amp; Wellness Center</v>
      </c>
      <c r="C379" s="29" t="str">
        <f t="shared" si="11"/>
        <v>S09292 - SHC of Hartford Rehab &amp; Wellness Center</v>
      </c>
      <c r="D379" s="31" t="str">
        <f xml:space="preserve"> _xll.EPMOlapMemberO("[ENTITY].[H1].[S09292]","","S09292 - SHC of Hartford Rehab &amp; Wellness Center","","000")</f>
        <v>S09292 - SHC of Hartford Rehab &amp; Wellness Center</v>
      </c>
      <c r="E379" s="31" t="str">
        <f xml:space="preserve"> _xll.EPMOlapMemberO("[ACCOUNT].[H1].[PAY_PAT_DAYS]","","PAY_PAT_DAYS - Total Payor Patient Days","","000")</f>
        <v>PAY_PAT_DAYS - Total Payor Patient Days</v>
      </c>
      <c r="F379" s="233">
        <v>2455</v>
      </c>
      <c r="G379" s="233">
        <v>2728</v>
      </c>
      <c r="H379" s="233">
        <v>2825</v>
      </c>
      <c r="I379" s="233">
        <v>2824</v>
      </c>
      <c r="J379">
        <v>2727</v>
      </c>
      <c r="K379">
        <v>2277</v>
      </c>
      <c r="L379">
        <v>2598</v>
      </c>
      <c r="M379">
        <v>2483</v>
      </c>
      <c r="N379">
        <v>2762</v>
      </c>
      <c r="O379">
        <v>2748</v>
      </c>
      <c r="P379">
        <v>2771</v>
      </c>
      <c r="Q379">
        <v>2783</v>
      </c>
    </row>
    <row r="380" spans="1:17" x14ac:dyDescent="0.25">
      <c r="A380" s="29" t="str">
        <f>_xll.EVPRO("Finance",$C380,"Inv_Type")</f>
        <v>Inv_Equity</v>
      </c>
      <c r="B380" s="29" t="str">
        <f t="shared" si="12"/>
        <v>SHC of Hartford Rehab &amp; Wellness Center</v>
      </c>
      <c r="C380" s="29" t="str">
        <f t="shared" si="11"/>
        <v>S09292 - SHC of Hartford Rehab &amp; Wellness Center</v>
      </c>
      <c r="D380" s="31"/>
      <c r="E380" s="2" t="str">
        <f xml:space="preserve"> _xll.EPMOlapMemberO("[ACCOUNT].[H1].[A_BEDS_TOTAL]","","A_BEDS_TOTAL - Total Available Beds","","000")</f>
        <v>A_BEDS_TOTAL - Total Available Beds</v>
      </c>
      <c r="F380" s="233">
        <v>110</v>
      </c>
      <c r="G380" s="233">
        <v>110</v>
      </c>
      <c r="H380" s="233">
        <v>110</v>
      </c>
      <c r="I380" s="233">
        <v>110</v>
      </c>
      <c r="J380">
        <v>110</v>
      </c>
      <c r="K380">
        <v>110</v>
      </c>
      <c r="L380">
        <v>110</v>
      </c>
      <c r="M380">
        <v>110</v>
      </c>
      <c r="N380">
        <v>110</v>
      </c>
      <c r="O380">
        <v>110</v>
      </c>
      <c r="P380">
        <v>110</v>
      </c>
      <c r="Q380">
        <v>110</v>
      </c>
    </row>
    <row r="381" spans="1:17" x14ac:dyDescent="0.25">
      <c r="A381" s="29" t="str">
        <f>_xll.EVPRO("Finance",$C381,"Inv_Type")</f>
        <v>Inv_Equity</v>
      </c>
      <c r="B381" s="29" t="str">
        <f t="shared" si="12"/>
        <v>SHC of Hartford Rehab &amp; Wellness Center</v>
      </c>
      <c r="C381" s="29" t="str">
        <f t="shared" si="11"/>
        <v>S09292 - SHC of Hartford Rehab &amp; Wellness Center</v>
      </c>
      <c r="D381" s="31"/>
      <c r="E381" s="15" t="str">
        <f xml:space="preserve"> _xll.EPMOlapMemberO("[ACCOUNT].[H1].[T_REVENUES]","","T_REVENUES - Total Tenant Revenues","","000")</f>
        <v>T_REVENUES - Total Tenant Revenues</v>
      </c>
      <c r="F381" s="233">
        <v>738861</v>
      </c>
      <c r="G381" s="233">
        <v>841021</v>
      </c>
      <c r="H381" s="233">
        <v>823794</v>
      </c>
      <c r="I381" s="233">
        <v>750593</v>
      </c>
      <c r="J381">
        <v>865288</v>
      </c>
      <c r="K381">
        <v>654077</v>
      </c>
      <c r="L381">
        <v>839103</v>
      </c>
      <c r="M381">
        <v>699603</v>
      </c>
      <c r="N381">
        <v>814394</v>
      </c>
      <c r="O381">
        <v>762379</v>
      </c>
      <c r="P381">
        <v>778680</v>
      </c>
      <c r="Q381">
        <v>816893</v>
      </c>
    </row>
    <row r="382" spans="1:17" x14ac:dyDescent="0.25">
      <c r="A382" s="29" t="str">
        <f>_xll.EVPRO("Finance",$C382,"Inv_Type")</f>
        <v>Inv_Equity</v>
      </c>
      <c r="B382" s="29" t="str">
        <f t="shared" si="12"/>
        <v>SHC of Hartford Rehab &amp; Wellness Center</v>
      </c>
      <c r="C382" s="29" t="str">
        <f t="shared" si="11"/>
        <v>S09292 - SHC of Hartford Rehab &amp; Wellness Center</v>
      </c>
      <c r="D382" s="31"/>
      <c r="E382" s="15" t="str">
        <f xml:space="preserve"> _xll.EPMOlapMemberO("[ACCOUNT].[H1].[T_OPEX]","","T_OPEX - Tenant Operating Expenses","","000")</f>
        <v>T_OPEX - Tenant Operating Expenses</v>
      </c>
      <c r="F382" s="233">
        <v>642533</v>
      </c>
      <c r="G382" s="233">
        <v>658945</v>
      </c>
      <c r="H382" s="233">
        <v>682671</v>
      </c>
      <c r="I382" s="233">
        <v>784423</v>
      </c>
      <c r="J382">
        <v>698937</v>
      </c>
      <c r="K382">
        <v>604974</v>
      </c>
      <c r="L382">
        <v>645700</v>
      </c>
      <c r="M382">
        <v>626829</v>
      </c>
      <c r="N382">
        <v>630441</v>
      </c>
      <c r="O382">
        <v>607466</v>
      </c>
      <c r="P382">
        <v>639928</v>
      </c>
      <c r="Q382">
        <v>623253</v>
      </c>
    </row>
    <row r="383" spans="1:17" x14ac:dyDescent="0.25">
      <c r="A383" s="29" t="str">
        <f>_xll.EVPRO("Finance",$C383,"Inv_Type")</f>
        <v>Inv_Equity</v>
      </c>
      <c r="B383" s="29" t="str">
        <f t="shared" si="12"/>
        <v>SHC of Hartford Rehab &amp; Wellness Center</v>
      </c>
      <c r="C383" s="29" t="str">
        <f t="shared" si="11"/>
        <v>S09292 - SHC of Hartford Rehab &amp; Wellness Center</v>
      </c>
      <c r="D383" s="31"/>
      <c r="E383" s="2" t="str">
        <f xml:space="preserve"> _xll.EPMOlapMemberO("[ACCOUNT].[H1].[T_NON_OP_EXP]","","T_NON_OP_EXP - Tenant Non-Operating Expense","","000")</f>
        <v>T_NON_OP_EXP - Tenant Non-Operating Expense</v>
      </c>
      <c r="F383" s="233">
        <v>9229</v>
      </c>
      <c r="G383" s="233">
        <v>10184</v>
      </c>
      <c r="H383" s="233">
        <v>9951</v>
      </c>
      <c r="I383" s="233">
        <v>8354</v>
      </c>
      <c r="J383">
        <v>9501</v>
      </c>
      <c r="K383">
        <v>9877</v>
      </c>
      <c r="L383">
        <v>9370</v>
      </c>
      <c r="M383">
        <v>10944</v>
      </c>
      <c r="N383">
        <v>9918</v>
      </c>
      <c r="O383">
        <v>11533</v>
      </c>
      <c r="P383">
        <v>10437</v>
      </c>
      <c r="Q383">
        <v>11252</v>
      </c>
    </row>
    <row r="384" spans="1:17" x14ac:dyDescent="0.25">
      <c r="A384" s="29" t="str">
        <f>_xll.EVPRO("Finance",$C384,"Inv_Type")</f>
        <v>Inv_Equity</v>
      </c>
      <c r="B384" s="29" t="str">
        <f t="shared" si="12"/>
        <v>SHC of Hartford Rehab &amp; Wellness Center</v>
      </c>
      <c r="C384" s="29" t="str">
        <f t="shared" si="11"/>
        <v>S09292 - SHC of Hartford Rehab &amp; Wellness Center</v>
      </c>
      <c r="D384" s="31"/>
      <c r="E384" s="16" t="str">
        <f xml:space="preserve"> _xll.EPMOlapMemberO("[ACCOUNT].[H1].[T_BAD_DEBT]","","T_BAD_DEBT - Tenant Bad Debt Expense","","000")</f>
        <v>T_BAD_DEBT - Tenant Bad Debt Expense</v>
      </c>
      <c r="F384" s="233">
        <v>5000</v>
      </c>
      <c r="G384" s="233">
        <v>6275</v>
      </c>
      <c r="H384" s="233">
        <v>7500</v>
      </c>
      <c r="I384" s="233">
        <v>33746</v>
      </c>
      <c r="J384">
        <v>12500</v>
      </c>
      <c r="K384">
        <v>15000</v>
      </c>
      <c r="L384">
        <v>5171</v>
      </c>
      <c r="M384">
        <v>18413</v>
      </c>
      <c r="N384">
        <v>5000</v>
      </c>
      <c r="O384">
        <v>17500</v>
      </c>
      <c r="P384">
        <v>15000</v>
      </c>
      <c r="Q384">
        <v>10000</v>
      </c>
    </row>
    <row r="385" spans="1:17" x14ac:dyDescent="0.25">
      <c r="A385" s="29" t="str">
        <f>_xll.EVPRO("Finance",$C385,"Inv_Type")</f>
        <v>Inv_Equity</v>
      </c>
      <c r="B385" s="29" t="str">
        <f t="shared" si="12"/>
        <v>SHC of Hartford Rehab &amp; Wellness Center</v>
      </c>
      <c r="C385" s="29" t="str">
        <f t="shared" si="11"/>
        <v>S09292 - SHC of Hartford Rehab &amp; Wellness Center</v>
      </c>
      <c r="D385" s="31"/>
      <c r="E385" s="3" t="str">
        <f xml:space="preserve"> _xll.EPMOlapMemberO("[ACCOUNT].[H1].[T_EBITDARM]","","T_EBITDARM - EBITDARM","","000")</f>
        <v>T_EBITDARM - EBITDARM</v>
      </c>
      <c r="F385" s="233">
        <v>96328</v>
      </c>
      <c r="G385" s="233">
        <v>182076</v>
      </c>
      <c r="H385" s="233">
        <v>141123</v>
      </c>
      <c r="I385" s="233">
        <v>-33830</v>
      </c>
      <c r="J385">
        <v>166351</v>
      </c>
      <c r="K385">
        <v>49103</v>
      </c>
      <c r="L385">
        <v>193403</v>
      </c>
      <c r="M385">
        <v>72774</v>
      </c>
      <c r="N385">
        <v>183953</v>
      </c>
      <c r="O385">
        <v>154913</v>
      </c>
      <c r="P385">
        <v>138752</v>
      </c>
      <c r="Q385">
        <v>193640</v>
      </c>
    </row>
    <row r="386" spans="1:17" x14ac:dyDescent="0.25">
      <c r="A386" s="29" t="str">
        <f>_xll.EVPRO("Finance",$C386,"Inv_Type")</f>
        <v>Inv_Equity</v>
      </c>
      <c r="B386" s="29" t="str">
        <f t="shared" si="12"/>
        <v>SHC of Hartford Rehab &amp; Wellness Center</v>
      </c>
      <c r="C386" s="29" t="str">
        <f t="shared" si="11"/>
        <v>S09292 - SHC of Hartford Rehab &amp; Wellness Center</v>
      </c>
      <c r="D386" s="31"/>
      <c r="E386" s="3" t="str">
        <f xml:space="preserve"> _xll.EPMOlapMemberO("[ACCOUNT].[H1].[T_MGMT_FEE]","","T_MGMT_FEE - Tenant Management Fee - Actual","","000")</f>
        <v>T_MGMT_FEE - Tenant Management Fee - Actual</v>
      </c>
      <c r="F386" s="233">
        <v>37312</v>
      </c>
      <c r="G386" s="233">
        <v>42472</v>
      </c>
      <c r="H386" s="233">
        <v>41602</v>
      </c>
      <c r="I386" s="233">
        <v>24815</v>
      </c>
      <c r="J386">
        <v>43697</v>
      </c>
      <c r="K386">
        <v>33031</v>
      </c>
      <c r="L386">
        <v>42375</v>
      </c>
      <c r="M386">
        <v>35330</v>
      </c>
      <c r="N386">
        <v>41127</v>
      </c>
      <c r="O386">
        <v>38500</v>
      </c>
      <c r="P386">
        <v>39323</v>
      </c>
      <c r="Q386">
        <v>41253</v>
      </c>
    </row>
    <row r="387" spans="1:17" x14ac:dyDescent="0.25">
      <c r="A387" s="29" t="str">
        <f>_xll.EVPRO("Finance",$C387,"Inv_Type")</f>
        <v>Inv_Equity</v>
      </c>
      <c r="B387" s="29" t="str">
        <f t="shared" si="12"/>
        <v>SHC of Hartford Rehab &amp; Wellness Center</v>
      </c>
      <c r="C387" s="29" t="str">
        <f t="shared" si="11"/>
        <v>S09292 - SHC of Hartford Rehab &amp; Wellness Center</v>
      </c>
      <c r="D387" s="31"/>
      <c r="E387" s="2" t="str">
        <f xml:space="preserve"> _xll.EPMOlapMemberO("[ACCOUNT].[H1].[T_EBITDAR]","","T_EBITDAR - EBITDAR","","000")</f>
        <v>T_EBITDAR - EBITDAR</v>
      </c>
      <c r="F387" s="233">
        <v>59016</v>
      </c>
      <c r="G387" s="233">
        <v>139604</v>
      </c>
      <c r="H387" s="233">
        <v>99521</v>
      </c>
      <c r="I387" s="233">
        <v>-58645</v>
      </c>
      <c r="J387">
        <v>122654</v>
      </c>
      <c r="K387">
        <v>16072</v>
      </c>
      <c r="L387">
        <v>151028</v>
      </c>
      <c r="M387">
        <v>37444</v>
      </c>
      <c r="N387">
        <v>142826</v>
      </c>
      <c r="O387">
        <v>116413</v>
      </c>
      <c r="P387">
        <v>99429</v>
      </c>
      <c r="Q387">
        <v>152387</v>
      </c>
    </row>
    <row r="388" spans="1:17" x14ac:dyDescent="0.25">
      <c r="A388" s="29" t="str">
        <f>_xll.EVPRO("Finance",$C388,"Inv_Type")</f>
        <v>Inv_Equity</v>
      </c>
      <c r="B388" s="29" t="str">
        <f t="shared" si="12"/>
        <v>SHC of Hartford Rehab &amp; Wellness Center</v>
      </c>
      <c r="C388" s="29" t="str">
        <f t="shared" si="11"/>
        <v>S09292 - SHC of Hartford Rehab &amp; Wellness Center</v>
      </c>
      <c r="D388" s="31"/>
      <c r="E388" s="2" t="str">
        <f xml:space="preserve"> _xll.EPMOlapMemberO("[ACCOUNT].[H1].[T_RENT_EXP]","","T_RENT_EXP - Tenant Rent Expense","","000")</f>
        <v>T_RENT_EXP - Tenant Rent Expense</v>
      </c>
      <c r="F388" s="233">
        <v>34021</v>
      </c>
      <c r="G388" s="233">
        <v>34021</v>
      </c>
      <c r="H388" s="233">
        <v>34021</v>
      </c>
      <c r="I388" s="233">
        <v>34872</v>
      </c>
      <c r="J388">
        <v>34872</v>
      </c>
      <c r="K388">
        <v>34872</v>
      </c>
      <c r="L388">
        <v>34872</v>
      </c>
      <c r="M388">
        <v>34872</v>
      </c>
      <c r="N388">
        <v>34872</v>
      </c>
      <c r="O388">
        <v>34872</v>
      </c>
      <c r="P388">
        <v>34872</v>
      </c>
      <c r="Q388">
        <v>34872</v>
      </c>
    </row>
    <row r="389" spans="1:17" x14ac:dyDescent="0.25">
      <c r="A389" s="29" t="str">
        <f>_xll.EVPRO("Finance",$C389,"Inv_Type")</f>
        <v>Inv_Equity</v>
      </c>
      <c r="B389" s="29" t="str">
        <f t="shared" si="12"/>
        <v>SHC at Rockford Rehab &amp; Wellness Center</v>
      </c>
      <c r="C389" s="29" t="str">
        <f t="shared" si="11"/>
        <v>S09293 - SHC at Rockford Rehab &amp; Wellness Center</v>
      </c>
      <c r="D389" s="31" t="str">
        <f xml:space="preserve"> _xll.EPMOlapMemberO("[ENTITY].[H1].[S09293]","","S09293 - SHC at Rockford Rehab &amp; Wellness Center","","000")</f>
        <v>S09293 - SHC at Rockford Rehab &amp; Wellness Center</v>
      </c>
      <c r="E389" s="31" t="str">
        <f xml:space="preserve"> _xll.EPMOlapMemberO("[ACCOUNT].[H1].[PAY_PAT_DAYS]","","PAY_PAT_DAYS - Total Payor Patient Days","","000")</f>
        <v>PAY_PAT_DAYS - Total Payor Patient Days</v>
      </c>
      <c r="F389" s="233">
        <v>2679</v>
      </c>
      <c r="G389" s="233">
        <v>2773</v>
      </c>
      <c r="H389" s="233">
        <v>2653</v>
      </c>
      <c r="I389" s="233">
        <v>2400</v>
      </c>
      <c r="J389">
        <v>2220</v>
      </c>
      <c r="K389">
        <v>2121</v>
      </c>
      <c r="L389">
        <v>2494</v>
      </c>
      <c r="M389">
        <v>2502</v>
      </c>
      <c r="N389">
        <v>2632</v>
      </c>
      <c r="O389">
        <v>2655</v>
      </c>
      <c r="P389">
        <v>2811</v>
      </c>
      <c r="Q389">
        <v>2852</v>
      </c>
    </row>
    <row r="390" spans="1:17" x14ac:dyDescent="0.25">
      <c r="A390" s="29" t="str">
        <f>_xll.EVPRO("Finance",$C390,"Inv_Type")</f>
        <v>Inv_Equity</v>
      </c>
      <c r="B390" s="29" t="str">
        <f t="shared" si="12"/>
        <v>SHC at Rockford Rehab &amp; Wellness Center</v>
      </c>
      <c r="C390" s="29" t="str">
        <f t="shared" ref="C390:C444" si="13">IF($D390&lt;&gt;"",$D390,C389)</f>
        <v>S09293 - SHC at Rockford Rehab &amp; Wellness Center</v>
      </c>
      <c r="D390" s="31"/>
      <c r="E390" s="2" t="str">
        <f xml:space="preserve"> _xll.EPMOlapMemberO("[ACCOUNT].[H1].[A_BEDS_TOTAL]","","A_BEDS_TOTAL - Total Available Beds","","000")</f>
        <v>A_BEDS_TOTAL - Total Available Beds</v>
      </c>
      <c r="F390" s="233">
        <v>110</v>
      </c>
      <c r="G390" s="233">
        <v>110</v>
      </c>
      <c r="H390" s="233">
        <v>110</v>
      </c>
      <c r="I390" s="233">
        <v>110</v>
      </c>
      <c r="J390">
        <v>110</v>
      </c>
      <c r="K390">
        <v>110</v>
      </c>
      <c r="L390">
        <v>110</v>
      </c>
      <c r="M390">
        <v>110</v>
      </c>
      <c r="N390">
        <v>110</v>
      </c>
      <c r="O390">
        <v>110</v>
      </c>
      <c r="P390">
        <v>110</v>
      </c>
      <c r="Q390">
        <v>110</v>
      </c>
    </row>
    <row r="391" spans="1:17" x14ac:dyDescent="0.25">
      <c r="A391" s="29" t="str">
        <f>_xll.EVPRO("Finance",$C391,"Inv_Type")</f>
        <v>Inv_Equity</v>
      </c>
      <c r="B391" s="29" t="str">
        <f t="shared" si="12"/>
        <v>SHC at Rockford Rehab &amp; Wellness Center</v>
      </c>
      <c r="C391" s="29" t="str">
        <f t="shared" si="13"/>
        <v>S09293 - SHC at Rockford Rehab &amp; Wellness Center</v>
      </c>
      <c r="D391" s="31"/>
      <c r="E391" s="15" t="str">
        <f xml:space="preserve"> _xll.EPMOlapMemberO("[ACCOUNT].[H1].[T_REVENUES]","","T_REVENUES - Total Tenant Revenues","","000")</f>
        <v>T_REVENUES - Total Tenant Revenues</v>
      </c>
      <c r="F391" s="233">
        <v>693060</v>
      </c>
      <c r="G391" s="233">
        <v>778585</v>
      </c>
      <c r="H391" s="233">
        <v>815528</v>
      </c>
      <c r="I391" s="233">
        <v>1209382</v>
      </c>
      <c r="J391">
        <v>610813</v>
      </c>
      <c r="K391">
        <v>571245</v>
      </c>
      <c r="L391">
        <v>813519</v>
      </c>
      <c r="M391">
        <v>655066</v>
      </c>
      <c r="N391">
        <v>731425</v>
      </c>
      <c r="O391">
        <v>721871</v>
      </c>
      <c r="P391">
        <v>806634</v>
      </c>
      <c r="Q391">
        <v>837690</v>
      </c>
    </row>
    <row r="392" spans="1:17" x14ac:dyDescent="0.25">
      <c r="A392" s="29" t="str">
        <f>_xll.EVPRO("Finance",$C392,"Inv_Type")</f>
        <v>Inv_Equity</v>
      </c>
      <c r="B392" s="29" t="str">
        <f t="shared" si="12"/>
        <v>SHC at Rockford Rehab &amp; Wellness Center</v>
      </c>
      <c r="C392" s="29" t="str">
        <f t="shared" si="13"/>
        <v>S09293 - SHC at Rockford Rehab &amp; Wellness Center</v>
      </c>
      <c r="D392" s="31"/>
      <c r="E392" s="15" t="str">
        <f xml:space="preserve"> _xll.EPMOlapMemberO("[ACCOUNT].[H1].[T_OPEX]","","T_OPEX - Tenant Operating Expenses","","000")</f>
        <v>T_OPEX - Tenant Operating Expenses</v>
      </c>
      <c r="F392" s="233">
        <v>642203</v>
      </c>
      <c r="G392" s="233">
        <v>648369</v>
      </c>
      <c r="H392" s="233">
        <v>646695</v>
      </c>
      <c r="I392" s="233">
        <v>963811</v>
      </c>
      <c r="J392">
        <v>618282</v>
      </c>
      <c r="K392">
        <v>551271</v>
      </c>
      <c r="L392">
        <v>582758</v>
      </c>
      <c r="M392">
        <v>568819</v>
      </c>
      <c r="N392">
        <v>591760</v>
      </c>
      <c r="O392">
        <v>592453</v>
      </c>
      <c r="P392">
        <v>604245</v>
      </c>
      <c r="Q392">
        <v>594123</v>
      </c>
    </row>
    <row r="393" spans="1:17" x14ac:dyDescent="0.25">
      <c r="A393" s="29" t="str">
        <f>_xll.EVPRO("Finance",$C393,"Inv_Type")</f>
        <v>Inv_Equity</v>
      </c>
      <c r="B393" s="29" t="str">
        <f t="shared" si="12"/>
        <v>SHC at Rockford Rehab &amp; Wellness Center</v>
      </c>
      <c r="C393" s="29" t="str">
        <f t="shared" si="13"/>
        <v>S09293 - SHC at Rockford Rehab &amp; Wellness Center</v>
      </c>
      <c r="D393" s="31"/>
      <c r="E393" s="2" t="str">
        <f xml:space="preserve"> _xll.EPMOlapMemberO("[ACCOUNT].[H1].[T_NON_OP_EXP]","","T_NON_OP_EXP - Tenant Non-Operating Expense","","000")</f>
        <v>T_NON_OP_EXP - Tenant Non-Operating Expense</v>
      </c>
      <c r="F393" s="233">
        <v>12760</v>
      </c>
      <c r="G393" s="233">
        <v>13079</v>
      </c>
      <c r="H393" s="233">
        <v>12468</v>
      </c>
      <c r="I393" s="233">
        <v>11725</v>
      </c>
      <c r="J393">
        <v>12052</v>
      </c>
      <c r="K393">
        <v>12192</v>
      </c>
      <c r="L393">
        <v>10002</v>
      </c>
      <c r="M393">
        <v>11168</v>
      </c>
      <c r="N393">
        <v>10049</v>
      </c>
      <c r="O393">
        <v>11002</v>
      </c>
      <c r="P393">
        <v>11602</v>
      </c>
      <c r="Q393">
        <v>11927</v>
      </c>
    </row>
    <row r="394" spans="1:17" x14ac:dyDescent="0.25">
      <c r="A394" s="29" t="str">
        <f>_xll.EVPRO("Finance",$C394,"Inv_Type")</f>
        <v>Inv_Equity</v>
      </c>
      <c r="B394" s="29" t="str">
        <f t="shared" si="12"/>
        <v>SHC at Rockford Rehab &amp; Wellness Center</v>
      </c>
      <c r="C394" s="29" t="str">
        <f t="shared" si="13"/>
        <v>S09293 - SHC at Rockford Rehab &amp; Wellness Center</v>
      </c>
      <c r="D394" s="31"/>
      <c r="E394" s="16" t="str">
        <f xml:space="preserve"> _xll.EPMOlapMemberO("[ACCOUNT].[H1].[T_BAD_DEBT]","","T_BAD_DEBT - Tenant Bad Debt Expense","","000")</f>
        <v>T_BAD_DEBT - Tenant Bad Debt Expense</v>
      </c>
      <c r="F394" s="233">
        <v>7500</v>
      </c>
      <c r="G394" s="233">
        <v>5000</v>
      </c>
      <c r="H394" s="233"/>
      <c r="I394" s="233">
        <v>21</v>
      </c>
      <c r="J394">
        <v>5000</v>
      </c>
    </row>
    <row r="395" spans="1:17" x14ac:dyDescent="0.25">
      <c r="A395" s="29" t="str">
        <f>_xll.EVPRO("Finance",$C395,"Inv_Type")</f>
        <v>Inv_Equity</v>
      </c>
      <c r="B395" s="29" t="str">
        <f t="shared" si="12"/>
        <v>SHC at Rockford Rehab &amp; Wellness Center</v>
      </c>
      <c r="C395" s="29" t="str">
        <f t="shared" si="13"/>
        <v>S09293 - SHC at Rockford Rehab &amp; Wellness Center</v>
      </c>
      <c r="D395" s="31"/>
      <c r="E395" s="3" t="str">
        <f xml:space="preserve"> _xll.EPMOlapMemberO("[ACCOUNT].[H1].[T_EBITDARM]","","T_EBITDARM - EBITDARM","","000")</f>
        <v>T_EBITDARM - EBITDARM</v>
      </c>
      <c r="F395" s="233">
        <v>50857</v>
      </c>
      <c r="G395" s="233">
        <v>130216</v>
      </c>
      <c r="H395" s="233">
        <v>168833</v>
      </c>
      <c r="I395" s="233">
        <v>245571</v>
      </c>
      <c r="J395">
        <v>-7469</v>
      </c>
      <c r="K395">
        <v>19974</v>
      </c>
      <c r="L395">
        <v>230761</v>
      </c>
      <c r="M395">
        <v>86247</v>
      </c>
      <c r="N395">
        <v>139665</v>
      </c>
      <c r="O395">
        <v>129418</v>
      </c>
      <c r="P395">
        <v>202389</v>
      </c>
      <c r="Q395">
        <v>243567</v>
      </c>
    </row>
    <row r="396" spans="1:17" x14ac:dyDescent="0.25">
      <c r="A396" s="29" t="str">
        <f>_xll.EVPRO("Finance",$C396,"Inv_Type")</f>
        <v>Inv_Equity</v>
      </c>
      <c r="B396" s="29" t="str">
        <f t="shared" si="12"/>
        <v>SHC at Rockford Rehab &amp; Wellness Center</v>
      </c>
      <c r="C396" s="29" t="str">
        <f t="shared" si="13"/>
        <v>S09293 - SHC at Rockford Rehab &amp; Wellness Center</v>
      </c>
      <c r="D396" s="31"/>
      <c r="E396" s="3" t="str">
        <f xml:space="preserve"> _xll.EPMOlapMemberO("[ACCOUNT].[H1].[T_MGMT_FEE]","","T_MGMT_FEE - Tenant Management Fee - Actual","","000")</f>
        <v>T_MGMT_FEE - Tenant Management Fee - Actual</v>
      </c>
      <c r="F396" s="233">
        <v>34909</v>
      </c>
      <c r="G396" s="233">
        <v>39319</v>
      </c>
      <c r="H396" s="233">
        <v>41184</v>
      </c>
      <c r="I396" s="233">
        <v>58506</v>
      </c>
      <c r="J396">
        <v>30925</v>
      </c>
      <c r="K396">
        <v>28848</v>
      </c>
      <c r="L396">
        <v>41083</v>
      </c>
      <c r="M396">
        <v>33081</v>
      </c>
      <c r="N396">
        <v>36937</v>
      </c>
      <c r="O396">
        <v>36454</v>
      </c>
      <c r="P396">
        <v>40735</v>
      </c>
      <c r="Q396">
        <v>42303</v>
      </c>
    </row>
    <row r="397" spans="1:17" x14ac:dyDescent="0.25">
      <c r="A397" s="29" t="str">
        <f>_xll.EVPRO("Finance",$C397,"Inv_Type")</f>
        <v>Inv_Equity</v>
      </c>
      <c r="B397" s="29" t="str">
        <f t="shared" si="12"/>
        <v>SHC at Rockford Rehab &amp; Wellness Center</v>
      </c>
      <c r="C397" s="29" t="str">
        <f t="shared" si="13"/>
        <v>S09293 - SHC at Rockford Rehab &amp; Wellness Center</v>
      </c>
      <c r="D397" s="31"/>
      <c r="E397" s="2" t="str">
        <f xml:space="preserve"> _xll.EPMOlapMemberO("[ACCOUNT].[H1].[T_EBITDAR]","","T_EBITDAR - EBITDAR","","000")</f>
        <v>T_EBITDAR - EBITDAR</v>
      </c>
      <c r="F397" s="233">
        <v>15948</v>
      </c>
      <c r="G397" s="233">
        <v>90897</v>
      </c>
      <c r="H397" s="233">
        <v>127649</v>
      </c>
      <c r="I397" s="233">
        <v>187065</v>
      </c>
      <c r="J397">
        <v>-38394</v>
      </c>
      <c r="K397">
        <v>-8874</v>
      </c>
      <c r="L397">
        <v>189678</v>
      </c>
      <c r="M397">
        <v>53166</v>
      </c>
      <c r="N397">
        <v>102728</v>
      </c>
      <c r="O397">
        <v>92964</v>
      </c>
      <c r="P397">
        <v>161654</v>
      </c>
      <c r="Q397">
        <v>201264</v>
      </c>
    </row>
    <row r="398" spans="1:17" x14ac:dyDescent="0.25">
      <c r="A398" s="29" t="str">
        <f>_xll.EVPRO("Finance",$C398,"Inv_Type")</f>
        <v>Inv_Equity</v>
      </c>
      <c r="B398" s="29" t="str">
        <f t="shared" si="12"/>
        <v>SHC at Rockford Rehab &amp; Wellness Center</v>
      </c>
      <c r="C398" s="29" t="str">
        <f t="shared" si="13"/>
        <v>S09293 - SHC at Rockford Rehab &amp; Wellness Center</v>
      </c>
      <c r="D398" s="31"/>
      <c r="E398" s="2" t="str">
        <f xml:space="preserve"> _xll.EPMOlapMemberO("[ACCOUNT].[H1].[T_RENT_EXP]","","T_RENT_EXP - Tenant Rent Expense","","000")</f>
        <v>T_RENT_EXP - Tenant Rent Expense</v>
      </c>
      <c r="F398" s="233">
        <v>3549</v>
      </c>
      <c r="G398" s="233">
        <v>3549</v>
      </c>
      <c r="H398" s="233">
        <v>3549</v>
      </c>
      <c r="I398" s="233">
        <v>3638</v>
      </c>
      <c r="J398">
        <v>3638</v>
      </c>
      <c r="K398">
        <v>3638</v>
      </c>
      <c r="L398">
        <v>3638</v>
      </c>
      <c r="M398">
        <v>3638</v>
      </c>
      <c r="N398">
        <v>3638</v>
      </c>
      <c r="O398">
        <v>3638</v>
      </c>
      <c r="P398">
        <v>3638</v>
      </c>
      <c r="Q398">
        <v>3638</v>
      </c>
    </row>
    <row r="399" spans="1:17" x14ac:dyDescent="0.25">
      <c r="A399" s="29" t="str">
        <f>_xll.EVPRO("Finance",$C399,"Inv_Type")</f>
        <v>Inv_Equity</v>
      </c>
      <c r="B399" s="29" t="str">
        <f t="shared" si="12"/>
        <v>SHC at Summerfield Rehab &amp; Wellness Center</v>
      </c>
      <c r="C399" s="29" t="str">
        <f t="shared" si="13"/>
        <v>S09294 - SHC at Summerfield Rehab &amp; Wellness Center</v>
      </c>
      <c r="D399" s="31" t="str">
        <f xml:space="preserve"> _xll.EPMOlapMemberO("[ENTITY].[H1].[S09294]","","S09294 - SHC at Summerfield Rehab &amp; Wellness Center","","000")</f>
        <v>S09294 - SHC at Summerfield Rehab &amp; Wellness Center</v>
      </c>
      <c r="E399" s="31" t="str">
        <f xml:space="preserve"> _xll.EPMOlapMemberO("[ACCOUNT].[H1].[PAY_PAT_DAYS]","","PAY_PAT_DAYS - Total Payor Patient Days","","000")</f>
        <v>PAY_PAT_DAYS - Total Payor Patient Days</v>
      </c>
      <c r="F399" s="233">
        <v>2975</v>
      </c>
      <c r="G399" s="233">
        <v>3270</v>
      </c>
      <c r="H399" s="233">
        <v>3373</v>
      </c>
      <c r="I399" s="233">
        <v>3250</v>
      </c>
      <c r="J399">
        <v>3142</v>
      </c>
      <c r="K399">
        <v>2819</v>
      </c>
      <c r="L399">
        <v>2968</v>
      </c>
      <c r="M399">
        <v>2739</v>
      </c>
      <c r="N399">
        <v>2749</v>
      </c>
      <c r="O399">
        <v>2738</v>
      </c>
      <c r="P399">
        <v>2909</v>
      </c>
      <c r="Q399">
        <v>2771</v>
      </c>
    </row>
    <row r="400" spans="1:17" x14ac:dyDescent="0.25">
      <c r="A400" s="29" t="str">
        <f>_xll.EVPRO("Finance",$C400,"Inv_Type")</f>
        <v>Inv_Equity</v>
      </c>
      <c r="B400" s="29" t="str">
        <f t="shared" si="12"/>
        <v>SHC at Summerfield Rehab &amp; Wellness Center</v>
      </c>
      <c r="C400" s="29" t="str">
        <f t="shared" si="13"/>
        <v>S09294 - SHC at Summerfield Rehab &amp; Wellness Center</v>
      </c>
      <c r="D400" s="31"/>
      <c r="E400" s="2" t="str">
        <f xml:space="preserve"> _xll.EPMOlapMemberO("[ACCOUNT].[H1].[A_BEDS_TOTAL]","","A_BEDS_TOTAL - Total Available Beds","","000")</f>
        <v>A_BEDS_TOTAL - Total Available Beds</v>
      </c>
      <c r="F400" s="233">
        <v>161</v>
      </c>
      <c r="G400" s="233">
        <v>161</v>
      </c>
      <c r="H400" s="233">
        <v>161</v>
      </c>
      <c r="I400" s="233">
        <v>161</v>
      </c>
      <c r="J400">
        <v>161</v>
      </c>
      <c r="K400">
        <v>161</v>
      </c>
      <c r="L400">
        <v>161</v>
      </c>
      <c r="M400">
        <v>161</v>
      </c>
      <c r="N400">
        <v>161</v>
      </c>
      <c r="O400">
        <v>161</v>
      </c>
      <c r="P400">
        <v>161</v>
      </c>
      <c r="Q400">
        <v>161</v>
      </c>
    </row>
    <row r="401" spans="1:17" x14ac:dyDescent="0.25">
      <c r="A401" s="29" t="str">
        <f>_xll.EVPRO("Finance",$C401,"Inv_Type")</f>
        <v>Inv_Equity</v>
      </c>
      <c r="B401" s="29" t="str">
        <f t="shared" si="12"/>
        <v>SHC at Summerfield Rehab &amp; Wellness Center</v>
      </c>
      <c r="C401" s="29" t="str">
        <f t="shared" si="13"/>
        <v>S09294 - SHC at Summerfield Rehab &amp; Wellness Center</v>
      </c>
      <c r="D401" s="31"/>
      <c r="E401" s="15" t="str">
        <f xml:space="preserve"> _xll.EPMOlapMemberO("[ACCOUNT].[H1].[T_REVENUES]","","T_REVENUES - Total Tenant Revenues","","000")</f>
        <v>T_REVENUES - Total Tenant Revenues</v>
      </c>
      <c r="F401" s="233">
        <v>1048309</v>
      </c>
      <c r="G401" s="233">
        <v>1042085</v>
      </c>
      <c r="H401" s="233">
        <v>1161121</v>
      </c>
      <c r="I401" s="233">
        <v>1301422</v>
      </c>
      <c r="J401">
        <v>931939</v>
      </c>
      <c r="K401">
        <v>848637</v>
      </c>
      <c r="L401">
        <v>1017632</v>
      </c>
      <c r="M401">
        <v>765222</v>
      </c>
      <c r="N401">
        <v>796904</v>
      </c>
      <c r="O401">
        <v>802947</v>
      </c>
      <c r="P401">
        <v>867418</v>
      </c>
      <c r="Q401">
        <v>794856</v>
      </c>
    </row>
    <row r="402" spans="1:17" x14ac:dyDescent="0.25">
      <c r="A402" s="29" t="str">
        <f>_xll.EVPRO("Finance",$C402,"Inv_Type")</f>
        <v>Inv_Equity</v>
      </c>
      <c r="B402" s="29" t="str">
        <f t="shared" si="12"/>
        <v>SHC at Summerfield Rehab &amp; Wellness Center</v>
      </c>
      <c r="C402" s="29" t="str">
        <f t="shared" si="13"/>
        <v>S09294 - SHC at Summerfield Rehab &amp; Wellness Center</v>
      </c>
      <c r="D402" s="31"/>
      <c r="E402" s="15" t="str">
        <f xml:space="preserve"> _xll.EPMOlapMemberO("[ACCOUNT].[H1].[T_OPEX]","","T_OPEX - Tenant Operating Expenses","","000")</f>
        <v>T_OPEX - Tenant Operating Expenses</v>
      </c>
      <c r="F402" s="233">
        <v>1035768</v>
      </c>
      <c r="G402" s="233">
        <v>1004054</v>
      </c>
      <c r="H402" s="233">
        <v>982708</v>
      </c>
      <c r="I402" s="233">
        <v>1471497</v>
      </c>
      <c r="J402">
        <v>951991</v>
      </c>
      <c r="K402">
        <v>883823</v>
      </c>
      <c r="L402">
        <v>864889</v>
      </c>
      <c r="M402">
        <v>676767</v>
      </c>
      <c r="N402">
        <v>679553</v>
      </c>
      <c r="O402">
        <v>676841</v>
      </c>
      <c r="P402">
        <v>743231</v>
      </c>
      <c r="Q402">
        <v>718343</v>
      </c>
    </row>
    <row r="403" spans="1:17" x14ac:dyDescent="0.25">
      <c r="A403" s="29" t="str">
        <f>_xll.EVPRO("Finance",$C403,"Inv_Type")</f>
        <v>Inv_Equity</v>
      </c>
      <c r="B403" s="29" t="str">
        <f t="shared" si="12"/>
        <v>SHC at Summerfield Rehab &amp; Wellness Center</v>
      </c>
      <c r="C403" s="29" t="str">
        <f t="shared" si="13"/>
        <v>S09294 - SHC at Summerfield Rehab &amp; Wellness Center</v>
      </c>
      <c r="D403" s="31"/>
      <c r="E403" s="2" t="str">
        <f xml:space="preserve"> _xll.EPMOlapMemberO("[ACCOUNT].[H1].[T_NON_OP_EXP]","","T_NON_OP_EXP - Tenant Non-Operating Expense","","000")</f>
        <v>T_NON_OP_EXP - Tenant Non-Operating Expense</v>
      </c>
      <c r="F403" s="233">
        <v>14261</v>
      </c>
      <c r="G403" s="233">
        <v>15326</v>
      </c>
      <c r="H403" s="233">
        <v>14789</v>
      </c>
      <c r="I403" s="233">
        <v>14269</v>
      </c>
      <c r="J403">
        <v>15258</v>
      </c>
      <c r="K403">
        <v>15470</v>
      </c>
      <c r="L403">
        <v>14677</v>
      </c>
      <c r="M403">
        <v>16458</v>
      </c>
      <c r="N403">
        <v>14479</v>
      </c>
      <c r="O403">
        <v>16080</v>
      </c>
      <c r="P403">
        <v>16891</v>
      </c>
      <c r="Q403">
        <v>14904</v>
      </c>
    </row>
    <row r="404" spans="1:17" x14ac:dyDescent="0.25">
      <c r="A404" s="29" t="str">
        <f>_xll.EVPRO("Finance",$C404,"Inv_Type")</f>
        <v>Inv_Equity</v>
      </c>
      <c r="B404" s="29" t="str">
        <f t="shared" si="12"/>
        <v>SHC at Summerfield Rehab &amp; Wellness Center</v>
      </c>
      <c r="C404" s="29" t="str">
        <f t="shared" si="13"/>
        <v>S09294 - SHC at Summerfield Rehab &amp; Wellness Center</v>
      </c>
      <c r="D404" s="31"/>
      <c r="E404" s="16" t="str">
        <f xml:space="preserve"> _xll.EPMOlapMemberO("[ACCOUNT].[H1].[T_BAD_DEBT]","","T_BAD_DEBT - Tenant Bad Debt Expense","","000")</f>
        <v>T_BAD_DEBT - Tenant Bad Debt Expense</v>
      </c>
      <c r="F404" s="233">
        <v>100024</v>
      </c>
      <c r="G404" s="233">
        <v>29597</v>
      </c>
      <c r="H404" s="233">
        <v>22500</v>
      </c>
      <c r="I404" s="233">
        <v>66728</v>
      </c>
      <c r="J404">
        <v>25000</v>
      </c>
      <c r="K404">
        <v>25000</v>
      </c>
      <c r="M404">
        <v>5000</v>
      </c>
      <c r="P404">
        <v>15000</v>
      </c>
      <c r="Q404">
        <v>10000</v>
      </c>
    </row>
    <row r="405" spans="1:17" x14ac:dyDescent="0.25">
      <c r="A405" s="29" t="str">
        <f>_xll.EVPRO("Finance",$C405,"Inv_Type")</f>
        <v>Inv_Equity</v>
      </c>
      <c r="B405" s="29" t="str">
        <f t="shared" si="12"/>
        <v>SHC at Summerfield Rehab &amp; Wellness Center</v>
      </c>
      <c r="C405" s="29" t="str">
        <f t="shared" si="13"/>
        <v>S09294 - SHC at Summerfield Rehab &amp; Wellness Center</v>
      </c>
      <c r="D405" s="31"/>
      <c r="E405" s="3" t="str">
        <f xml:space="preserve"> _xll.EPMOlapMemberO("[ACCOUNT].[H1].[T_EBITDARM]","","T_EBITDARM - EBITDARM","","000")</f>
        <v>T_EBITDARM - EBITDARM</v>
      </c>
      <c r="F405" s="233">
        <v>12541</v>
      </c>
      <c r="G405" s="233">
        <v>38031</v>
      </c>
      <c r="H405" s="233">
        <v>178413</v>
      </c>
      <c r="I405" s="233">
        <v>-170075</v>
      </c>
      <c r="J405">
        <v>-20052</v>
      </c>
      <c r="K405">
        <v>-35186</v>
      </c>
      <c r="L405">
        <v>152743</v>
      </c>
      <c r="M405">
        <v>88455</v>
      </c>
      <c r="N405">
        <v>117351</v>
      </c>
      <c r="O405">
        <v>126106</v>
      </c>
      <c r="P405">
        <v>124187</v>
      </c>
      <c r="Q405">
        <v>76513</v>
      </c>
    </row>
    <row r="406" spans="1:17" x14ac:dyDescent="0.25">
      <c r="A406" s="29" t="str">
        <f>_xll.EVPRO("Finance",$C406,"Inv_Type")</f>
        <v>Inv_Equity</v>
      </c>
      <c r="B406" s="29" t="str">
        <f t="shared" si="12"/>
        <v>SHC at Summerfield Rehab &amp; Wellness Center</v>
      </c>
      <c r="C406" s="29" t="str">
        <f t="shared" si="13"/>
        <v>S09294 - SHC at Summerfield Rehab &amp; Wellness Center</v>
      </c>
      <c r="D406" s="31"/>
      <c r="E406" s="3" t="str">
        <f xml:space="preserve"> _xll.EPMOlapMemberO("[ACCOUNT].[H1].[T_MGMT_FEE]","","T_MGMT_FEE - Tenant Management Fee - Actual","","000")</f>
        <v>T_MGMT_FEE - Tenant Management Fee - Actual</v>
      </c>
      <c r="F406" s="233">
        <v>52816</v>
      </c>
      <c r="G406" s="233">
        <v>52625</v>
      </c>
      <c r="H406" s="233">
        <v>58637</v>
      </c>
      <c r="I406" s="233">
        <v>64679</v>
      </c>
      <c r="J406">
        <v>47952</v>
      </c>
      <c r="K406">
        <v>42856</v>
      </c>
      <c r="L406">
        <v>51390</v>
      </c>
      <c r="M406">
        <v>38644</v>
      </c>
      <c r="N406">
        <v>40244</v>
      </c>
      <c r="O406">
        <v>40549</v>
      </c>
      <c r="P406">
        <v>43805</v>
      </c>
      <c r="Q406">
        <v>40140</v>
      </c>
    </row>
    <row r="407" spans="1:17" x14ac:dyDescent="0.25">
      <c r="A407" s="29" t="str">
        <f>_xll.EVPRO("Finance",$C407,"Inv_Type")</f>
        <v>Inv_Equity</v>
      </c>
      <c r="B407" s="29" t="str">
        <f t="shared" si="12"/>
        <v>SHC at Summerfield Rehab &amp; Wellness Center</v>
      </c>
      <c r="C407" s="29" t="str">
        <f t="shared" si="13"/>
        <v>S09294 - SHC at Summerfield Rehab &amp; Wellness Center</v>
      </c>
      <c r="D407" s="31"/>
      <c r="E407" s="2" t="str">
        <f xml:space="preserve"> _xll.EPMOlapMemberO("[ACCOUNT].[H1].[T_EBITDAR]","","T_EBITDAR - EBITDAR","","000")</f>
        <v>T_EBITDAR - EBITDAR</v>
      </c>
      <c r="F407" s="233">
        <v>-40275</v>
      </c>
      <c r="G407" s="233">
        <v>-14594</v>
      </c>
      <c r="H407" s="233">
        <v>119776</v>
      </c>
      <c r="I407" s="233">
        <v>-234754</v>
      </c>
      <c r="J407">
        <v>-68004</v>
      </c>
      <c r="K407">
        <v>-78042</v>
      </c>
      <c r="L407">
        <v>101353</v>
      </c>
      <c r="M407">
        <v>49811</v>
      </c>
      <c r="N407">
        <v>77107</v>
      </c>
      <c r="O407">
        <v>85557</v>
      </c>
      <c r="P407">
        <v>80382</v>
      </c>
      <c r="Q407">
        <v>36373</v>
      </c>
    </row>
    <row r="408" spans="1:17" x14ac:dyDescent="0.25">
      <c r="A408" s="29" t="str">
        <f>_xll.EVPRO("Finance",$C408,"Inv_Type")</f>
        <v>Inv_Equity</v>
      </c>
      <c r="B408" s="29" t="str">
        <f t="shared" si="12"/>
        <v>SHC at Summerfield Rehab &amp; Wellness Center</v>
      </c>
      <c r="C408" s="29" t="str">
        <f t="shared" si="13"/>
        <v>S09294 - SHC at Summerfield Rehab &amp; Wellness Center</v>
      </c>
      <c r="D408" s="31"/>
      <c r="E408" s="2" t="str">
        <f xml:space="preserve"> _xll.EPMOlapMemberO("[ACCOUNT].[H1].[T_RENT_EXP]","","T_RENT_EXP - Tenant Rent Expense","","000")</f>
        <v>T_RENT_EXP - Tenant Rent Expense</v>
      </c>
      <c r="F408" s="233">
        <v>5253</v>
      </c>
      <c r="G408" s="233">
        <v>5253</v>
      </c>
      <c r="H408" s="233">
        <v>5253</v>
      </c>
      <c r="I408" s="233">
        <v>5384</v>
      </c>
      <c r="J408">
        <v>5384</v>
      </c>
      <c r="K408">
        <v>5384</v>
      </c>
      <c r="L408">
        <v>5384</v>
      </c>
      <c r="M408">
        <v>5384</v>
      </c>
      <c r="N408">
        <v>5384</v>
      </c>
      <c r="O408">
        <v>5384</v>
      </c>
      <c r="P408">
        <v>5384</v>
      </c>
      <c r="Q408">
        <v>5384</v>
      </c>
    </row>
    <row r="409" spans="1:17" x14ac:dyDescent="0.25">
      <c r="A409" s="29" t="str">
        <f>_xll.EVPRO("Finance",$C409,"Inv_Type")</f>
        <v>Inv_Equity</v>
      </c>
      <c r="B409" s="29" t="str">
        <f t="shared" si="12"/>
        <v>SHC at Tanbark Rehab &amp; Welllness Center</v>
      </c>
      <c r="C409" s="29" t="str">
        <f t="shared" si="13"/>
        <v>S09295 - SHC at Tanbark Rehab &amp; Welllness Center</v>
      </c>
      <c r="D409" s="31" t="str">
        <f xml:space="preserve"> _xll.EPMOlapMemberO("[ENTITY].[H1].[S09295]","","S09295 - SHC at Tanbark Rehab &amp; Welllness Center","","000")</f>
        <v>S09295 - SHC at Tanbark Rehab &amp; Welllness Center</v>
      </c>
      <c r="E409" s="31" t="str">
        <f xml:space="preserve"> _xll.EPMOlapMemberO("[ACCOUNT].[H1].[PAY_PAT_DAYS]","","PAY_PAT_DAYS - Total Payor Patient Days","","000")</f>
        <v>PAY_PAT_DAYS - Total Payor Patient Days</v>
      </c>
      <c r="F409" s="233">
        <v>1263</v>
      </c>
      <c r="G409" s="233">
        <v>1726</v>
      </c>
      <c r="H409" s="233">
        <v>1149</v>
      </c>
      <c r="I409" s="233">
        <v>1334</v>
      </c>
      <c r="J409">
        <v>1609</v>
      </c>
      <c r="K409">
        <v>1466</v>
      </c>
      <c r="L409">
        <v>1686</v>
      </c>
      <c r="M409">
        <v>1688</v>
      </c>
      <c r="N409">
        <v>1644</v>
      </c>
      <c r="O409">
        <v>1480</v>
      </c>
      <c r="P409">
        <v>1541</v>
      </c>
      <c r="Q409">
        <v>1423</v>
      </c>
    </row>
    <row r="410" spans="1:17" x14ac:dyDescent="0.25">
      <c r="A410" s="29" t="str">
        <f>_xll.EVPRO("Finance",$C410,"Inv_Type")</f>
        <v>Inv_Equity</v>
      </c>
      <c r="B410" s="29" t="str">
        <f t="shared" si="12"/>
        <v>SHC at Tanbark Rehab &amp; Welllness Center</v>
      </c>
      <c r="C410" s="29" t="str">
        <f t="shared" si="13"/>
        <v>S09295 - SHC at Tanbark Rehab &amp; Welllness Center</v>
      </c>
      <c r="D410" s="31"/>
      <c r="E410" s="2" t="str">
        <f xml:space="preserve"> _xll.EPMOlapMemberO("[ACCOUNT].[H1].[A_BEDS_TOTAL]","","A_BEDS_TOTAL - Total Available Beds","","000")</f>
        <v>A_BEDS_TOTAL - Total Available Beds</v>
      </c>
      <c r="F410" s="233">
        <v>96</v>
      </c>
      <c r="G410" s="233">
        <v>96</v>
      </c>
      <c r="H410" s="233">
        <v>96</v>
      </c>
      <c r="I410" s="233">
        <v>96</v>
      </c>
      <c r="J410">
        <v>96</v>
      </c>
      <c r="K410">
        <v>96</v>
      </c>
      <c r="L410">
        <v>96</v>
      </c>
      <c r="M410">
        <v>96</v>
      </c>
      <c r="N410">
        <v>96</v>
      </c>
      <c r="O410">
        <v>96</v>
      </c>
      <c r="P410">
        <v>96</v>
      </c>
      <c r="Q410">
        <v>96</v>
      </c>
    </row>
    <row r="411" spans="1:17" x14ac:dyDescent="0.25">
      <c r="A411" s="29" t="str">
        <f>_xll.EVPRO("Finance",$C411,"Inv_Type")</f>
        <v>Inv_Equity</v>
      </c>
      <c r="B411" s="29" t="str">
        <f t="shared" si="12"/>
        <v>SHC at Tanbark Rehab &amp; Welllness Center</v>
      </c>
      <c r="C411" s="29" t="str">
        <f t="shared" si="13"/>
        <v>S09295 - SHC at Tanbark Rehab &amp; Welllness Center</v>
      </c>
      <c r="D411" s="31"/>
      <c r="E411" s="15" t="str">
        <f xml:space="preserve"> _xll.EPMOlapMemberO("[ACCOUNT].[H1].[T_REVENUES]","","T_REVENUES - Total Tenant Revenues","","000")</f>
        <v>T_REVENUES - Total Tenant Revenues</v>
      </c>
      <c r="F411" s="233">
        <v>354752</v>
      </c>
      <c r="G411" s="233">
        <v>579055</v>
      </c>
      <c r="H411" s="233">
        <v>330912</v>
      </c>
      <c r="I411" s="233">
        <v>909508</v>
      </c>
      <c r="J411">
        <v>502543</v>
      </c>
      <c r="K411">
        <v>440147</v>
      </c>
      <c r="L411">
        <v>522404</v>
      </c>
      <c r="M411">
        <v>525934</v>
      </c>
      <c r="N411">
        <v>506301</v>
      </c>
      <c r="O411">
        <v>485140</v>
      </c>
      <c r="P411">
        <v>520656</v>
      </c>
      <c r="Q411">
        <v>477368</v>
      </c>
    </row>
    <row r="412" spans="1:17" x14ac:dyDescent="0.25">
      <c r="A412" s="29" t="str">
        <f>_xll.EVPRO("Finance",$C412,"Inv_Type")</f>
        <v>Inv_Equity</v>
      </c>
      <c r="B412" s="29" t="str">
        <f t="shared" si="12"/>
        <v>SHC at Tanbark Rehab &amp; Welllness Center</v>
      </c>
      <c r="C412" s="29" t="str">
        <f t="shared" si="13"/>
        <v>S09295 - SHC at Tanbark Rehab &amp; Welllness Center</v>
      </c>
      <c r="D412" s="31"/>
      <c r="E412" s="15" t="str">
        <f xml:space="preserve"> _xll.EPMOlapMemberO("[ACCOUNT].[H1].[T_OPEX]","","T_OPEX - Tenant Operating Expenses","","000")</f>
        <v>T_OPEX - Tenant Operating Expenses</v>
      </c>
      <c r="F412" s="233">
        <v>477658</v>
      </c>
      <c r="G412" s="233">
        <v>541052</v>
      </c>
      <c r="H412" s="233">
        <v>491586</v>
      </c>
      <c r="I412" s="233">
        <v>641991</v>
      </c>
      <c r="J412">
        <v>552406</v>
      </c>
      <c r="K412">
        <v>470293</v>
      </c>
      <c r="L412">
        <v>528204</v>
      </c>
      <c r="M412">
        <v>515478</v>
      </c>
      <c r="N412">
        <v>553780</v>
      </c>
      <c r="O412">
        <v>469170</v>
      </c>
      <c r="P412">
        <v>473894</v>
      </c>
      <c r="Q412">
        <v>578001</v>
      </c>
    </row>
    <row r="413" spans="1:17" x14ac:dyDescent="0.25">
      <c r="A413" s="29" t="str">
        <f>_xll.EVPRO("Finance",$C413,"Inv_Type")</f>
        <v>Inv_Equity</v>
      </c>
      <c r="B413" s="29" t="str">
        <f t="shared" si="12"/>
        <v>SHC at Tanbark Rehab &amp; Welllness Center</v>
      </c>
      <c r="C413" s="29" t="str">
        <f t="shared" si="13"/>
        <v>S09295 - SHC at Tanbark Rehab &amp; Welllness Center</v>
      </c>
      <c r="D413" s="31"/>
      <c r="E413" s="2" t="str">
        <f xml:space="preserve"> _xll.EPMOlapMemberO("[ACCOUNT].[H1].[T_NON_OP_EXP]","","T_NON_OP_EXP - Tenant Non-Operating Expense","","000")</f>
        <v>T_NON_OP_EXP - Tenant Non-Operating Expense</v>
      </c>
      <c r="F413" s="233">
        <v>12518</v>
      </c>
      <c r="G413" s="233">
        <v>12086</v>
      </c>
      <c r="H413" s="233">
        <v>11914</v>
      </c>
      <c r="I413" s="233">
        <v>10130</v>
      </c>
      <c r="J413">
        <v>10878</v>
      </c>
      <c r="K413">
        <v>10949</v>
      </c>
      <c r="L413">
        <v>11786</v>
      </c>
      <c r="M413">
        <v>13795</v>
      </c>
      <c r="N413">
        <v>12968</v>
      </c>
      <c r="O413">
        <v>13871</v>
      </c>
      <c r="P413">
        <v>14312</v>
      </c>
      <c r="Q413">
        <v>14072</v>
      </c>
    </row>
    <row r="414" spans="1:17" x14ac:dyDescent="0.25">
      <c r="A414" s="29" t="str">
        <f>_xll.EVPRO("Finance",$C414,"Inv_Type")</f>
        <v>Inv_Equity</v>
      </c>
      <c r="B414" s="29" t="str">
        <f t="shared" si="12"/>
        <v>SHC at Tanbark Rehab &amp; Welllness Center</v>
      </c>
      <c r="C414" s="29" t="str">
        <f t="shared" si="13"/>
        <v>S09295 - SHC at Tanbark Rehab &amp; Welllness Center</v>
      </c>
      <c r="D414" s="31"/>
      <c r="E414" s="16" t="str">
        <f xml:space="preserve"> _xll.EPMOlapMemberO("[ACCOUNT].[H1].[T_BAD_DEBT]","","T_BAD_DEBT - Tenant Bad Debt Expense","","000")</f>
        <v>T_BAD_DEBT - Tenant Bad Debt Expense</v>
      </c>
      <c r="F414" s="233">
        <v>64603</v>
      </c>
      <c r="G414" s="233">
        <v>17096</v>
      </c>
      <c r="H414" s="233">
        <v>22500</v>
      </c>
      <c r="I414" s="233"/>
      <c r="J414">
        <v>7500</v>
      </c>
    </row>
    <row r="415" spans="1:17" x14ac:dyDescent="0.25">
      <c r="A415" s="29" t="str">
        <f>_xll.EVPRO("Finance",$C415,"Inv_Type")</f>
        <v>Inv_Equity</v>
      </c>
      <c r="B415" s="29" t="str">
        <f t="shared" si="12"/>
        <v>SHC at Tanbark Rehab &amp; Welllness Center</v>
      </c>
      <c r="C415" s="29" t="str">
        <f t="shared" si="13"/>
        <v>S09295 - SHC at Tanbark Rehab &amp; Welllness Center</v>
      </c>
      <c r="D415" s="31"/>
      <c r="E415" s="3" t="str">
        <f xml:space="preserve"> _xll.EPMOlapMemberO("[ACCOUNT].[H1].[T_EBITDARM]","","T_EBITDARM - EBITDARM","","000")</f>
        <v>T_EBITDARM - EBITDARM</v>
      </c>
      <c r="F415" s="233">
        <v>-122906</v>
      </c>
      <c r="G415" s="233">
        <v>38003</v>
      </c>
      <c r="H415" s="233">
        <v>-160674</v>
      </c>
      <c r="I415" s="233">
        <v>267517</v>
      </c>
      <c r="J415">
        <v>-49863</v>
      </c>
      <c r="K415">
        <v>-30146</v>
      </c>
      <c r="L415">
        <v>-5800</v>
      </c>
      <c r="M415">
        <v>10456</v>
      </c>
      <c r="N415">
        <v>-47479</v>
      </c>
      <c r="O415">
        <v>15970</v>
      </c>
      <c r="P415">
        <v>46762</v>
      </c>
      <c r="Q415">
        <v>-100633</v>
      </c>
    </row>
    <row r="416" spans="1:17" x14ac:dyDescent="0.25">
      <c r="A416" s="29" t="str">
        <f>_xll.EVPRO("Finance",$C416,"Inv_Type")</f>
        <v>Inv_Equity</v>
      </c>
      <c r="B416" s="29" t="str">
        <f t="shared" si="12"/>
        <v>SHC at Tanbark Rehab &amp; Welllness Center</v>
      </c>
      <c r="C416" s="29" t="str">
        <f t="shared" si="13"/>
        <v>S09295 - SHC at Tanbark Rehab &amp; Welllness Center</v>
      </c>
      <c r="D416" s="31"/>
      <c r="E416" s="3" t="str">
        <f xml:space="preserve"> _xll.EPMOlapMemberO("[ACCOUNT].[H1].[T_MGMT_FEE]","","T_MGMT_FEE - Tenant Management Fee - Actual","","000")</f>
        <v>T_MGMT_FEE - Tenant Management Fee - Actual</v>
      </c>
      <c r="F416" s="233">
        <v>17656</v>
      </c>
      <c r="G416" s="233">
        <v>29242</v>
      </c>
      <c r="H416" s="233">
        <v>16711</v>
      </c>
      <c r="I416" s="233">
        <v>53486</v>
      </c>
      <c r="J416">
        <v>25378</v>
      </c>
      <c r="K416">
        <v>22227</v>
      </c>
      <c r="L416">
        <v>26381</v>
      </c>
      <c r="M416">
        <v>26560</v>
      </c>
      <c r="N416">
        <v>25568</v>
      </c>
      <c r="O416">
        <v>24500</v>
      </c>
      <c r="P416">
        <v>26293</v>
      </c>
      <c r="Q416">
        <v>24107</v>
      </c>
    </row>
    <row r="417" spans="1:17" x14ac:dyDescent="0.25">
      <c r="A417" s="29" t="str">
        <f>_xll.EVPRO("Finance",$C417,"Inv_Type")</f>
        <v>Inv_Equity</v>
      </c>
      <c r="B417" s="29" t="str">
        <f t="shared" si="12"/>
        <v>SHC at Tanbark Rehab &amp; Welllness Center</v>
      </c>
      <c r="C417" s="29" t="str">
        <f t="shared" si="13"/>
        <v>S09295 - SHC at Tanbark Rehab &amp; Welllness Center</v>
      </c>
      <c r="D417" s="31"/>
      <c r="E417" s="2" t="str">
        <f xml:space="preserve"> _xll.EPMOlapMemberO("[ACCOUNT].[H1].[T_EBITDAR]","","T_EBITDAR - EBITDAR","","000")</f>
        <v>T_EBITDAR - EBITDAR</v>
      </c>
      <c r="F417" s="233">
        <v>-140562</v>
      </c>
      <c r="G417" s="233">
        <v>8761</v>
      </c>
      <c r="H417" s="233">
        <v>-177385</v>
      </c>
      <c r="I417" s="233">
        <v>214031</v>
      </c>
      <c r="J417">
        <v>-75241</v>
      </c>
      <c r="K417">
        <v>-52373</v>
      </c>
      <c r="L417">
        <v>-32181</v>
      </c>
      <c r="M417">
        <v>-16104</v>
      </c>
      <c r="N417">
        <v>-73047</v>
      </c>
      <c r="O417">
        <v>-8530</v>
      </c>
      <c r="P417">
        <v>20469</v>
      </c>
      <c r="Q417">
        <v>-124740</v>
      </c>
    </row>
    <row r="418" spans="1:17" x14ac:dyDescent="0.25">
      <c r="A418" s="29" t="str">
        <f>_xll.EVPRO("Finance",$C418,"Inv_Type")</f>
        <v>Inv_Equity</v>
      </c>
      <c r="B418" s="29" t="str">
        <f t="shared" si="12"/>
        <v>SHC at Tanbark Rehab &amp; Welllness Center</v>
      </c>
      <c r="C418" s="29" t="str">
        <f t="shared" si="13"/>
        <v>S09295 - SHC at Tanbark Rehab &amp; Welllness Center</v>
      </c>
      <c r="D418" s="31"/>
      <c r="E418" s="2" t="str">
        <f xml:space="preserve"> _xll.EPMOlapMemberO("[ACCOUNT].[H1].[T_RENT_EXP]","","T_RENT_EXP - Tenant Rent Expense","","000")</f>
        <v>T_RENT_EXP - Tenant Rent Expense</v>
      </c>
      <c r="F418" s="233">
        <v>39304</v>
      </c>
      <c r="G418" s="233">
        <v>39304</v>
      </c>
      <c r="H418" s="233">
        <v>39304</v>
      </c>
      <c r="I418" s="233">
        <v>40287</v>
      </c>
      <c r="J418">
        <v>40287</v>
      </c>
      <c r="K418">
        <v>40287</v>
      </c>
      <c r="L418">
        <v>40287</v>
      </c>
      <c r="M418">
        <v>40287</v>
      </c>
      <c r="N418">
        <v>40287</v>
      </c>
      <c r="O418">
        <v>40287</v>
      </c>
      <c r="P418">
        <v>40287</v>
      </c>
      <c r="Q418">
        <v>40287</v>
      </c>
    </row>
    <row r="419" spans="1:17" x14ac:dyDescent="0.25">
      <c r="A419" s="29" t="str">
        <f>_xll.EVPRO("Finance",$C419,"Inv_Type")</f>
        <v>Inv_Equity</v>
      </c>
      <c r="B419" s="29" t="str">
        <f t="shared" si="12"/>
        <v>SHC at Summit Manor Rehab &amp; Wellness Center</v>
      </c>
      <c r="C419" s="29" t="str">
        <f t="shared" si="13"/>
        <v>S09296 - SHC at Summit Manor Rehab &amp; Wellness Center</v>
      </c>
      <c r="D419" s="31" t="str">
        <f xml:space="preserve"> _xll.EPMOlapMemberO("[ENTITY].[H1].[S09296]","","S09296 - SHC at Summit Manor Rehab &amp; Wellness Center","","000")</f>
        <v>S09296 - SHC at Summit Manor Rehab &amp; Wellness Center</v>
      </c>
      <c r="E419" s="31" t="str">
        <f xml:space="preserve"> _xll.EPMOlapMemberO("[ACCOUNT].[H1].[PAY_PAT_DAYS]","","PAY_PAT_DAYS - Total Payor Patient Days","","000")</f>
        <v>PAY_PAT_DAYS - Total Payor Patient Days</v>
      </c>
      <c r="F419" s="233">
        <v>2025</v>
      </c>
      <c r="G419" s="233">
        <v>2129</v>
      </c>
      <c r="H419" s="233">
        <v>1914</v>
      </c>
      <c r="I419" s="233">
        <v>1772</v>
      </c>
      <c r="J419">
        <v>1880</v>
      </c>
      <c r="K419">
        <v>1792</v>
      </c>
      <c r="L419">
        <v>2062</v>
      </c>
      <c r="M419">
        <v>2001</v>
      </c>
      <c r="N419">
        <v>2019</v>
      </c>
      <c r="O419">
        <v>2068</v>
      </c>
      <c r="P419">
        <v>2240</v>
      </c>
      <c r="Q419">
        <v>2253</v>
      </c>
    </row>
    <row r="420" spans="1:17" x14ac:dyDescent="0.25">
      <c r="A420" s="29" t="str">
        <f>_xll.EVPRO("Finance",$C420,"Inv_Type")</f>
        <v>Inv_Equity</v>
      </c>
      <c r="B420" s="29" t="str">
        <f t="shared" si="12"/>
        <v>SHC at Summit Manor Rehab &amp; Wellness Center</v>
      </c>
      <c r="C420" s="29" t="str">
        <f t="shared" si="13"/>
        <v>S09296 - SHC at Summit Manor Rehab &amp; Wellness Center</v>
      </c>
      <c r="D420" s="31"/>
      <c r="E420" s="2" t="str">
        <f xml:space="preserve"> _xll.EPMOlapMemberO("[ACCOUNT].[H1].[A_BEDS_TOTAL]","","A_BEDS_TOTAL - Total Available Beds","","000")</f>
        <v>A_BEDS_TOTAL - Total Available Beds</v>
      </c>
      <c r="F420" s="233">
        <v>104</v>
      </c>
      <c r="G420" s="233">
        <v>104</v>
      </c>
      <c r="H420" s="233">
        <v>104</v>
      </c>
      <c r="I420" s="233">
        <v>104</v>
      </c>
      <c r="J420">
        <v>104</v>
      </c>
      <c r="K420">
        <v>104</v>
      </c>
      <c r="L420">
        <v>104</v>
      </c>
      <c r="M420">
        <v>104</v>
      </c>
      <c r="N420">
        <v>104</v>
      </c>
      <c r="O420">
        <v>104</v>
      </c>
      <c r="P420">
        <v>104</v>
      </c>
      <c r="Q420">
        <v>104</v>
      </c>
    </row>
    <row r="421" spans="1:17" x14ac:dyDescent="0.25">
      <c r="A421" s="29" t="str">
        <f>_xll.EVPRO("Finance",$C421,"Inv_Type")</f>
        <v>Inv_Equity</v>
      </c>
      <c r="B421" s="29" t="str">
        <f t="shared" si="12"/>
        <v>SHC at Summit Manor Rehab &amp; Wellness Center</v>
      </c>
      <c r="C421" s="29" t="str">
        <f t="shared" si="13"/>
        <v>S09296 - SHC at Summit Manor Rehab &amp; Wellness Center</v>
      </c>
      <c r="D421" s="31"/>
      <c r="E421" s="15" t="str">
        <f xml:space="preserve"> _xll.EPMOlapMemberO("[ACCOUNT].[H1].[T_REVENUES]","","T_REVENUES - Total Tenant Revenues","","000")</f>
        <v>T_REVENUES - Total Tenant Revenues</v>
      </c>
      <c r="F421" s="233">
        <v>611702</v>
      </c>
      <c r="G421" s="233">
        <v>550879</v>
      </c>
      <c r="H421" s="233">
        <v>502256</v>
      </c>
      <c r="I421" s="233">
        <v>1170067</v>
      </c>
      <c r="J421">
        <v>455476</v>
      </c>
      <c r="K421">
        <v>443520</v>
      </c>
      <c r="L421">
        <v>636602</v>
      </c>
      <c r="M421">
        <v>510255</v>
      </c>
      <c r="N421">
        <v>525909</v>
      </c>
      <c r="O421">
        <v>542946</v>
      </c>
      <c r="P421">
        <v>621719</v>
      </c>
      <c r="Q421">
        <v>639438</v>
      </c>
    </row>
    <row r="422" spans="1:17" x14ac:dyDescent="0.25">
      <c r="A422" s="29" t="str">
        <f>_xll.EVPRO("Finance",$C422,"Inv_Type")</f>
        <v>Inv_Equity</v>
      </c>
      <c r="B422" s="29" t="str">
        <f t="shared" si="12"/>
        <v>SHC at Summit Manor Rehab &amp; Wellness Center</v>
      </c>
      <c r="C422" s="29" t="str">
        <f t="shared" si="13"/>
        <v>S09296 - SHC at Summit Manor Rehab &amp; Wellness Center</v>
      </c>
      <c r="D422" s="31"/>
      <c r="E422" s="15" t="str">
        <f xml:space="preserve"> _xll.EPMOlapMemberO("[ACCOUNT].[H1].[T_OPEX]","","T_OPEX - Tenant Operating Expenses","","000")</f>
        <v>T_OPEX - Tenant Operating Expenses</v>
      </c>
      <c r="F422" s="233">
        <v>538603</v>
      </c>
      <c r="G422" s="233">
        <v>444329</v>
      </c>
      <c r="H422" s="233">
        <v>1327681</v>
      </c>
      <c r="I422" s="233">
        <v>781064</v>
      </c>
      <c r="J422">
        <v>466749</v>
      </c>
      <c r="K422">
        <v>338743</v>
      </c>
      <c r="L422">
        <v>465944</v>
      </c>
      <c r="M422">
        <v>501984</v>
      </c>
      <c r="N422">
        <v>536428</v>
      </c>
      <c r="O422">
        <v>440340</v>
      </c>
      <c r="P422">
        <v>672582</v>
      </c>
      <c r="Q422">
        <v>545636</v>
      </c>
    </row>
    <row r="423" spans="1:17" x14ac:dyDescent="0.25">
      <c r="A423" s="29" t="str">
        <f>_xll.EVPRO("Finance",$C423,"Inv_Type")</f>
        <v>Inv_Equity</v>
      </c>
      <c r="B423" s="29" t="str">
        <f t="shared" si="12"/>
        <v>SHC at Summit Manor Rehab &amp; Wellness Center</v>
      </c>
      <c r="C423" s="29" t="str">
        <f t="shared" si="13"/>
        <v>S09296 - SHC at Summit Manor Rehab &amp; Wellness Center</v>
      </c>
      <c r="D423" s="31"/>
      <c r="E423" s="2" t="str">
        <f xml:space="preserve"> _xll.EPMOlapMemberO("[ACCOUNT].[H1].[T_NON_OP_EXP]","","T_NON_OP_EXP - Tenant Non-Operating Expense","","000")</f>
        <v>T_NON_OP_EXP - Tenant Non-Operating Expense</v>
      </c>
      <c r="F423" s="233">
        <v>19320</v>
      </c>
      <c r="G423" s="233">
        <v>19175</v>
      </c>
      <c r="H423" s="233">
        <v>18885</v>
      </c>
      <c r="I423" s="233">
        <v>14297</v>
      </c>
      <c r="J423">
        <v>14766</v>
      </c>
      <c r="K423">
        <v>14933</v>
      </c>
      <c r="L423">
        <v>14863</v>
      </c>
      <c r="M423">
        <v>15480</v>
      </c>
      <c r="N423">
        <v>14684</v>
      </c>
      <c r="O423">
        <v>15518</v>
      </c>
      <c r="P423">
        <v>15660</v>
      </c>
      <c r="Q423">
        <v>15485</v>
      </c>
    </row>
    <row r="424" spans="1:17" x14ac:dyDescent="0.25">
      <c r="A424" s="29" t="str">
        <f>_xll.EVPRO("Finance",$C424,"Inv_Type")</f>
        <v>Inv_Equity</v>
      </c>
      <c r="B424" s="29" t="str">
        <f t="shared" si="12"/>
        <v>SHC at Summit Manor Rehab &amp; Wellness Center</v>
      </c>
      <c r="C424" s="29" t="str">
        <f t="shared" si="13"/>
        <v>S09296 - SHC at Summit Manor Rehab &amp; Wellness Center</v>
      </c>
      <c r="D424" s="31"/>
      <c r="E424" s="16" t="str">
        <f xml:space="preserve"> _xll.EPMOlapMemberO("[ACCOUNT].[H1].[T_BAD_DEBT]","","T_BAD_DEBT - Tenant Bad Debt Expense","","000")</f>
        <v>T_BAD_DEBT - Tenant Bad Debt Expense</v>
      </c>
      <c r="F424" s="233">
        <v>15000</v>
      </c>
      <c r="G424" s="233">
        <v>13703</v>
      </c>
      <c r="H424" s="233">
        <v>-5000</v>
      </c>
      <c r="I424" s="233">
        <v>8590</v>
      </c>
      <c r="J424">
        <v>5000</v>
      </c>
    </row>
    <row r="425" spans="1:17" x14ac:dyDescent="0.25">
      <c r="A425" s="29" t="str">
        <f>_xll.EVPRO("Finance",$C425,"Inv_Type")</f>
        <v>Inv_Equity</v>
      </c>
      <c r="B425" s="29" t="str">
        <f t="shared" si="12"/>
        <v>SHC at Summit Manor Rehab &amp; Wellness Center</v>
      </c>
      <c r="C425" s="29" t="str">
        <f t="shared" si="13"/>
        <v>S09296 - SHC at Summit Manor Rehab &amp; Wellness Center</v>
      </c>
      <c r="D425" s="31"/>
      <c r="E425" s="3" t="str">
        <f xml:space="preserve"> _xll.EPMOlapMemberO("[ACCOUNT].[H1].[T_EBITDARM]","","T_EBITDARM - EBITDARM","","000")</f>
        <v>T_EBITDARM - EBITDARM</v>
      </c>
      <c r="F425" s="233">
        <v>73099</v>
      </c>
      <c r="G425" s="233">
        <v>106550</v>
      </c>
      <c r="H425" s="233">
        <v>-825425</v>
      </c>
      <c r="I425" s="233">
        <v>389003</v>
      </c>
      <c r="J425">
        <v>-11273</v>
      </c>
      <c r="K425">
        <v>104777</v>
      </c>
      <c r="L425">
        <v>170658</v>
      </c>
      <c r="M425">
        <v>8271</v>
      </c>
      <c r="N425">
        <v>-10519</v>
      </c>
      <c r="O425">
        <v>102606</v>
      </c>
      <c r="P425">
        <v>-50863</v>
      </c>
      <c r="Q425">
        <v>93802</v>
      </c>
    </row>
    <row r="426" spans="1:17" x14ac:dyDescent="0.25">
      <c r="A426" s="29" t="str">
        <f>_xll.EVPRO("Finance",$C426,"Inv_Type")</f>
        <v>Inv_Equity</v>
      </c>
      <c r="B426" s="29" t="str">
        <f t="shared" si="12"/>
        <v>SHC at Summit Manor Rehab &amp; Wellness Center</v>
      </c>
      <c r="C426" s="29" t="str">
        <f t="shared" si="13"/>
        <v>S09296 - SHC at Summit Manor Rehab &amp; Wellness Center</v>
      </c>
      <c r="D426" s="31"/>
      <c r="E426" s="3" t="str">
        <f xml:space="preserve"> _xll.EPMOlapMemberO("[ACCOUNT].[H1].[T_MGMT_FEE]","","T_MGMT_FEE - Tenant Management Fee - Actual","","000")</f>
        <v>T_MGMT_FEE - Tenant Management Fee - Actual</v>
      </c>
      <c r="F426" s="233">
        <v>30372</v>
      </c>
      <c r="G426" s="233">
        <v>27819</v>
      </c>
      <c r="H426" s="233">
        <v>25364</v>
      </c>
      <c r="I426" s="233">
        <v>71944</v>
      </c>
      <c r="J426">
        <v>23002</v>
      </c>
      <c r="K426">
        <v>22398</v>
      </c>
      <c r="L426">
        <v>32148</v>
      </c>
      <c r="M426">
        <v>25768</v>
      </c>
      <c r="N426">
        <v>26558</v>
      </c>
      <c r="O426">
        <v>27419</v>
      </c>
      <c r="P426">
        <v>31397</v>
      </c>
      <c r="Q426">
        <v>32292</v>
      </c>
    </row>
    <row r="427" spans="1:17" x14ac:dyDescent="0.25">
      <c r="A427" s="29" t="str">
        <f>_xll.EVPRO("Finance",$C427,"Inv_Type")</f>
        <v>Inv_Equity</v>
      </c>
      <c r="B427" s="29" t="str">
        <f t="shared" si="12"/>
        <v>SHC at Summit Manor Rehab &amp; Wellness Center</v>
      </c>
      <c r="C427" s="29" t="str">
        <f t="shared" si="13"/>
        <v>S09296 - SHC at Summit Manor Rehab &amp; Wellness Center</v>
      </c>
      <c r="D427" s="31"/>
      <c r="E427" s="2" t="str">
        <f xml:space="preserve"> _xll.EPMOlapMemberO("[ACCOUNT].[H1].[T_EBITDAR]","","T_EBITDAR - EBITDAR","","000")</f>
        <v>T_EBITDAR - EBITDAR</v>
      </c>
      <c r="F427" s="233">
        <v>42727</v>
      </c>
      <c r="G427" s="233">
        <v>78731</v>
      </c>
      <c r="H427" s="233">
        <v>-850789</v>
      </c>
      <c r="I427" s="233">
        <v>317059</v>
      </c>
      <c r="J427">
        <v>-34275</v>
      </c>
      <c r="K427">
        <v>82379</v>
      </c>
      <c r="L427">
        <v>138510</v>
      </c>
      <c r="M427">
        <v>-17497</v>
      </c>
      <c r="N427">
        <v>-37077</v>
      </c>
      <c r="O427">
        <v>75187</v>
      </c>
      <c r="P427">
        <v>-82260</v>
      </c>
      <c r="Q427">
        <v>61510</v>
      </c>
    </row>
    <row r="428" spans="1:17" x14ac:dyDescent="0.25">
      <c r="A428" s="29" t="str">
        <f>_xll.EVPRO("Finance",$C428,"Inv_Type")</f>
        <v>Inv_Equity</v>
      </c>
      <c r="B428" s="29" t="str">
        <f t="shared" si="12"/>
        <v>SHC at Summit Manor Rehab &amp; Wellness Center</v>
      </c>
      <c r="C428" s="29" t="str">
        <f t="shared" si="13"/>
        <v>S09296 - SHC at Summit Manor Rehab &amp; Wellness Center</v>
      </c>
      <c r="D428" s="31"/>
      <c r="E428" s="2" t="str">
        <f xml:space="preserve"> _xll.EPMOlapMemberO("[ACCOUNT].[H1].[T_RENT_EXP]","","T_RENT_EXP - Tenant Rent Expense","","000")</f>
        <v>T_RENT_EXP - Tenant Rent Expense</v>
      </c>
      <c r="F428" s="233">
        <v>129497</v>
      </c>
      <c r="G428" s="233">
        <v>129497</v>
      </c>
      <c r="H428" s="233">
        <v>129497</v>
      </c>
      <c r="I428" s="233">
        <v>132734</v>
      </c>
      <c r="J428">
        <v>132734</v>
      </c>
      <c r="K428">
        <v>132734</v>
      </c>
      <c r="L428">
        <v>132734</v>
      </c>
      <c r="M428">
        <v>132734</v>
      </c>
      <c r="N428">
        <v>132734</v>
      </c>
      <c r="O428">
        <v>132734</v>
      </c>
      <c r="P428">
        <v>132734</v>
      </c>
      <c r="Q428">
        <v>132734</v>
      </c>
    </row>
    <row r="429" spans="1:17" x14ac:dyDescent="0.25">
      <c r="A429" s="29" t="str">
        <f>_xll.EVPRO("Finance",$C429,"Inv_Type")</f>
        <v>Inv_Equity</v>
      </c>
      <c r="B429" s="29" t="str">
        <f t="shared" si="12"/>
        <v>SHC at Summit Manor Rehab &amp; Wellness Center</v>
      </c>
      <c r="C429" s="29" t="str">
        <f t="shared" si="13"/>
        <v>S09296 - SHC at Summit Manor Rehab &amp; Wellness Center</v>
      </c>
    </row>
    <row r="430" spans="1:17" x14ac:dyDescent="0.25">
      <c r="A430" s="29" t="str">
        <f>_xll.EVPRO("Finance",$C430,"Inv_Type")</f>
        <v>Inv_Equity</v>
      </c>
      <c r="B430" s="29" t="str">
        <f t="shared" si="12"/>
        <v>SHC at Summit Manor Rehab &amp; Wellness Center</v>
      </c>
      <c r="C430" s="29" t="str">
        <f t="shared" si="13"/>
        <v>S09296 - SHC at Summit Manor Rehab &amp; Wellness Center</v>
      </c>
    </row>
    <row r="431" spans="1:17" x14ac:dyDescent="0.25">
      <c r="A431" s="29" t="str">
        <f>_xll.EVPRO("Finance",$C431,"Inv_Type")</f>
        <v>Inv_Equity</v>
      </c>
      <c r="B431" s="29" t="str">
        <f t="shared" si="12"/>
        <v>SHC at Summit Manor Rehab &amp; Wellness Center</v>
      </c>
      <c r="C431" s="29" t="str">
        <f t="shared" si="13"/>
        <v>S09296 - SHC at Summit Manor Rehab &amp; Wellness Center</v>
      </c>
    </row>
    <row r="432" spans="1:17" x14ac:dyDescent="0.25">
      <c r="A432" s="29" t="str">
        <f>_xll.EVPRO("Finance",$C432,"Inv_Type")</f>
        <v>Inv_Equity</v>
      </c>
      <c r="B432" s="29" t="str">
        <f t="shared" si="12"/>
        <v>SHC at Summit Manor Rehab &amp; Wellness Center</v>
      </c>
      <c r="C432" s="29" t="str">
        <f t="shared" si="13"/>
        <v>S09296 - SHC at Summit Manor Rehab &amp; Wellness Center</v>
      </c>
    </row>
    <row r="433" spans="1:3" x14ac:dyDescent="0.25">
      <c r="A433" s="29" t="str">
        <f>_xll.EVPRO("Finance",$C433,"Inv_Type")</f>
        <v>Inv_Equity</v>
      </c>
      <c r="B433" s="29" t="str">
        <f t="shared" si="12"/>
        <v>SHC at Summit Manor Rehab &amp; Wellness Center</v>
      </c>
      <c r="C433" s="29" t="str">
        <f t="shared" si="13"/>
        <v>S09296 - SHC at Summit Manor Rehab &amp; Wellness Center</v>
      </c>
    </row>
    <row r="434" spans="1:3" x14ac:dyDescent="0.25">
      <c r="A434" s="29" t="str">
        <f>_xll.EVPRO("Finance",$C434,"Inv_Type")</f>
        <v>Inv_Equity</v>
      </c>
      <c r="B434" s="29" t="str">
        <f t="shared" si="12"/>
        <v>SHC at Summit Manor Rehab &amp; Wellness Center</v>
      </c>
      <c r="C434" s="29" t="str">
        <f t="shared" si="13"/>
        <v>S09296 - SHC at Summit Manor Rehab &amp; Wellness Center</v>
      </c>
    </row>
    <row r="435" spans="1:3" x14ac:dyDescent="0.25">
      <c r="A435" s="29" t="str">
        <f>_xll.EVPRO("Finance",$C435,"Inv_Type")</f>
        <v>Inv_Equity</v>
      </c>
      <c r="B435" s="29" t="str">
        <f t="shared" si="12"/>
        <v>SHC at Summit Manor Rehab &amp; Wellness Center</v>
      </c>
      <c r="C435" s="29" t="str">
        <f t="shared" si="13"/>
        <v>S09296 - SHC at Summit Manor Rehab &amp; Wellness Center</v>
      </c>
    </row>
    <row r="436" spans="1:3" x14ac:dyDescent="0.25">
      <c r="A436" s="29" t="str">
        <f>_xll.EVPRO("Finance",$C436,"Inv_Type")</f>
        <v>Inv_Equity</v>
      </c>
      <c r="B436" s="29" t="str">
        <f t="shared" si="12"/>
        <v>SHC at Summit Manor Rehab &amp; Wellness Center</v>
      </c>
      <c r="C436" s="29" t="str">
        <f t="shared" si="13"/>
        <v>S09296 - SHC at Summit Manor Rehab &amp; Wellness Center</v>
      </c>
    </row>
    <row r="437" spans="1:3" x14ac:dyDescent="0.25">
      <c r="A437" s="29" t="str">
        <f>_xll.EVPRO("Finance",$C437,"Inv_Type")</f>
        <v>Inv_Equity</v>
      </c>
      <c r="B437" s="29" t="str">
        <f t="shared" si="12"/>
        <v>SHC at Summit Manor Rehab &amp; Wellness Center</v>
      </c>
      <c r="C437" s="29" t="str">
        <f t="shared" si="13"/>
        <v>S09296 - SHC at Summit Manor Rehab &amp; Wellness Center</v>
      </c>
    </row>
    <row r="438" spans="1:3" x14ac:dyDescent="0.25">
      <c r="A438" s="29" t="str">
        <f>_xll.EVPRO("Finance",$C438,"Inv_Type")</f>
        <v>Inv_Equity</v>
      </c>
      <c r="B438" s="29" t="str">
        <f t="shared" si="12"/>
        <v>SHC at Summit Manor Rehab &amp; Wellness Center</v>
      </c>
      <c r="C438" s="29" t="str">
        <f t="shared" si="13"/>
        <v>S09296 - SHC at Summit Manor Rehab &amp; Wellness Center</v>
      </c>
    </row>
    <row r="439" spans="1:3" x14ac:dyDescent="0.25">
      <c r="A439" s="29" t="str">
        <f>_xll.EVPRO("Finance",$C439,"Inv_Type")</f>
        <v>Inv_Equity</v>
      </c>
      <c r="B439" s="29" t="str">
        <f t="shared" si="12"/>
        <v>SHC at Summit Manor Rehab &amp; Wellness Center</v>
      </c>
      <c r="C439" s="29" t="str">
        <f t="shared" si="13"/>
        <v>S09296 - SHC at Summit Manor Rehab &amp; Wellness Center</v>
      </c>
    </row>
    <row r="440" spans="1:3" x14ac:dyDescent="0.25">
      <c r="A440" s="29" t="str">
        <f>_xll.EVPRO("Finance",$C440,"Inv_Type")</f>
        <v>Inv_Equity</v>
      </c>
      <c r="B440" s="29" t="str">
        <f t="shared" si="12"/>
        <v>SHC at Summit Manor Rehab &amp; Wellness Center</v>
      </c>
      <c r="C440" s="29" t="str">
        <f t="shared" si="13"/>
        <v>S09296 - SHC at Summit Manor Rehab &amp; Wellness Center</v>
      </c>
    </row>
    <row r="441" spans="1:3" x14ac:dyDescent="0.25">
      <c r="A441" s="29" t="str">
        <f>_xll.EVPRO("Finance",$C441,"Inv_Type")</f>
        <v>Inv_Equity</v>
      </c>
      <c r="B441" s="29" t="str">
        <f t="shared" si="12"/>
        <v>SHC at Summit Manor Rehab &amp; Wellness Center</v>
      </c>
      <c r="C441" s="29" t="str">
        <f t="shared" si="13"/>
        <v>S09296 - SHC at Summit Manor Rehab &amp; Wellness Center</v>
      </c>
    </row>
    <row r="442" spans="1:3" x14ac:dyDescent="0.25">
      <c r="A442" s="29" t="str">
        <f>_xll.EVPRO("Finance",$C442,"Inv_Type")</f>
        <v>Inv_Equity</v>
      </c>
      <c r="B442" s="29" t="str">
        <f t="shared" si="12"/>
        <v>SHC at Summit Manor Rehab &amp; Wellness Center</v>
      </c>
      <c r="C442" s="29" t="str">
        <f t="shared" si="13"/>
        <v>S09296 - SHC at Summit Manor Rehab &amp; Wellness Center</v>
      </c>
    </row>
    <row r="443" spans="1:3" x14ac:dyDescent="0.25">
      <c r="A443" s="29" t="str">
        <f>_xll.EVPRO("Finance",$C443,"Inv_Type")</f>
        <v>Inv_Equity</v>
      </c>
      <c r="B443" s="29" t="str">
        <f t="shared" ref="B443:B444" si="14">MID($C443,FIND("- ",$C443)+2,10000)</f>
        <v>SHC at Summit Manor Rehab &amp; Wellness Center</v>
      </c>
      <c r="C443" s="29" t="str">
        <f t="shared" si="13"/>
        <v>S09296 - SHC at Summit Manor Rehab &amp; Wellness Center</v>
      </c>
    </row>
    <row r="444" spans="1:3" x14ac:dyDescent="0.25">
      <c r="A444" s="29" t="str">
        <f>_xll.EVPRO("Finance",$C444,"Inv_Type")</f>
        <v>Inv_Equity</v>
      </c>
      <c r="B444" s="29" t="str">
        <f t="shared" si="14"/>
        <v>SHC at Summit Manor Rehab &amp; Wellness Center</v>
      </c>
      <c r="C444" s="29" t="str">
        <f t="shared" si="13"/>
        <v>S09296 - SHC at Summit Manor Rehab &amp; Wellness Center</v>
      </c>
    </row>
  </sheetData>
  <pageMargins left="0.7" right="0.7" top="0.75" bottom="0.75" header="0.3" footer="0.3"/>
  <customProperties>
    <customPr name="EpmWorksheetKeyString_GUID" r:id="rId1"/>
    <customPr name="FPMExcelClientCellBasedFunctionStatus" r:id="rId2"/>
    <customPr name="FPMExcelClientRefreshTime" r:id="rId3"/>
  </customProperties>
  <drawing r:id="rId4"/>
  <legacyDrawing r:id="rId5"/>
  <controls>
    <mc:AlternateContent xmlns:mc="http://schemas.openxmlformats.org/markup-compatibility/2006">
      <mc:Choice Requires="x14">
        <control shapeId="1025" r:id="rId6" name="FPMExcelClientSheetOptionstb1">
          <controlPr defaultSize="0" autoLine="0" autoPict="0" r:id="rId7">
            <anchor moveWithCells="1" sizeWithCells="1">
              <from>
                <xdr:col>0</xdr:col>
                <xdr:colOff>0</xdr:colOff>
                <xdr:row>0</xdr:row>
                <xdr:rowOff>0</xdr:rowOff>
              </from>
              <to>
                <xdr:col>1</xdr:col>
                <xdr:colOff>1190625</xdr:colOff>
                <xdr:row>0</xdr:row>
                <xdr:rowOff>0</xdr:rowOff>
              </to>
            </anchor>
          </controlPr>
        </control>
      </mc:Choice>
      <mc:Fallback>
        <control shapeId="1025" r:id="rId6" name="FPMExcelClientSheetOptionstb1"/>
      </mc:Fallback>
    </mc:AlternateContent>
    <mc:AlternateContent xmlns:mc="http://schemas.openxmlformats.org/markup-compatibility/2006">
      <mc:Choice Requires="x14">
        <control shapeId="1026" r:id="rId8" name="ConnectionDescriptorsInfotb1">
          <controlPr defaultSize="0" autoLine="0" autoPict="0" r:id="rId9">
            <anchor moveWithCells="1" sizeWithCells="1">
              <from>
                <xdr:col>0</xdr:col>
                <xdr:colOff>0</xdr:colOff>
                <xdr:row>0</xdr:row>
                <xdr:rowOff>0</xdr:rowOff>
              </from>
              <to>
                <xdr:col>1</xdr:col>
                <xdr:colOff>1190625</xdr:colOff>
                <xdr:row>0</xdr:row>
                <xdr:rowOff>0</xdr:rowOff>
              </to>
            </anchor>
          </controlPr>
        </control>
      </mc:Choice>
      <mc:Fallback>
        <control shapeId="1026" r:id="rId8" name="ConnectionDescriptorsInfotb1"/>
      </mc:Fallback>
    </mc:AlternateContent>
    <mc:AlternateContent xmlns:mc="http://schemas.openxmlformats.org/markup-compatibility/2006">
      <mc:Choice Requires="x14">
        <control shapeId="1027" r:id="rId10" name="MultipleReportManagerInfotb1">
          <controlPr defaultSize="0" autoLine="0" autoPict="0" r:id="rId11">
            <anchor moveWithCells="1" sizeWithCells="1">
              <from>
                <xdr:col>0</xdr:col>
                <xdr:colOff>0</xdr:colOff>
                <xdr:row>0</xdr:row>
                <xdr:rowOff>0</xdr:rowOff>
              </from>
              <to>
                <xdr:col>1</xdr:col>
                <xdr:colOff>1190625</xdr:colOff>
                <xdr:row>0</xdr:row>
                <xdr:rowOff>0</xdr:rowOff>
              </to>
            </anchor>
          </controlPr>
        </control>
      </mc:Choice>
      <mc:Fallback>
        <control shapeId="1027" r:id="rId10" name="MultipleReportManagerInfotb1"/>
      </mc:Fallback>
    </mc:AlternateContent>
    <mc:AlternateContent xmlns:mc="http://schemas.openxmlformats.org/markup-compatibility/2006">
      <mc:Choice Requires="x14">
        <control shapeId="1028" r:id="rId12" name="AnalyzerDynReport000tb1">
          <controlPr defaultSize="0" autoLine="0" autoPict="0" r:id="rId13">
            <anchor moveWithCells="1" sizeWithCells="1">
              <from>
                <xdr:col>0</xdr:col>
                <xdr:colOff>0</xdr:colOff>
                <xdr:row>0</xdr:row>
                <xdr:rowOff>0</xdr:rowOff>
              </from>
              <to>
                <xdr:col>1</xdr:col>
                <xdr:colOff>1190625</xdr:colOff>
                <xdr:row>0</xdr:row>
                <xdr:rowOff>0</xdr:rowOff>
              </to>
            </anchor>
          </controlPr>
        </control>
      </mc:Choice>
      <mc:Fallback>
        <control shapeId="1028" r:id="rId12" name="AnalyzerDynReport000tb1"/>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C567"/>
  <sheetViews>
    <sheetView showGridLines="0" view="pageBreakPreview" topLeftCell="E1" zoomScale="80" zoomScaleNormal="100" zoomScaleSheetLayoutView="80" workbookViewId="0">
      <selection activeCell="E1" sqref="E1"/>
    </sheetView>
  </sheetViews>
  <sheetFormatPr defaultRowHeight="15" outlineLevelRow="1" outlineLevelCol="1" x14ac:dyDescent="0.25"/>
  <cols>
    <col min="1" max="2" width="9.140625" hidden="1" customWidth="1" outlineLevel="1"/>
    <col min="3" max="3" width="37.42578125" hidden="1" customWidth="1" outlineLevel="1"/>
    <col min="4" max="4" width="45.85546875" hidden="1" customWidth="1" outlineLevel="1"/>
    <col min="5" max="5" width="2.5703125" customWidth="1" collapsed="1"/>
    <col min="6" max="6" width="46.7109375" bestFit="1" customWidth="1"/>
    <col min="7" max="7" width="14.28515625" bestFit="1" customWidth="1"/>
    <col min="8" max="8" width="14.28515625" style="29" bestFit="1" customWidth="1"/>
    <col min="9" max="9" width="14.28515625" bestFit="1" customWidth="1"/>
    <col min="10" max="10" width="14.28515625" style="29" bestFit="1" customWidth="1"/>
    <col min="11" max="11" width="14.28515625" bestFit="1" customWidth="1"/>
    <col min="12" max="12" width="14.28515625" style="29" bestFit="1" customWidth="1"/>
    <col min="13" max="13" width="14.28515625" bestFit="1" customWidth="1"/>
    <col min="14" max="14" width="14.28515625" style="29" bestFit="1" customWidth="1"/>
    <col min="15" max="15" width="14.28515625" bestFit="1" customWidth="1"/>
    <col min="16" max="16" width="14.28515625" style="29" bestFit="1" customWidth="1"/>
    <col min="17" max="17" width="14.28515625" bestFit="1" customWidth="1"/>
    <col min="18" max="18" width="14.28515625" style="29" bestFit="1" customWidth="1"/>
    <col min="19" max="19" width="13.28515625" bestFit="1" customWidth="1"/>
    <col min="20" max="20" width="15.28515625" style="20" bestFit="1" customWidth="1"/>
    <col min="21" max="21" width="14.28515625" bestFit="1" customWidth="1"/>
    <col min="24" max="24" width="23.7109375" bestFit="1" customWidth="1"/>
    <col min="26" max="26" width="15.42578125" customWidth="1"/>
    <col min="29" max="29" width="126.42578125" bestFit="1" customWidth="1"/>
  </cols>
  <sheetData>
    <row r="1" spans="1:20" x14ac:dyDescent="0.25">
      <c r="F1" s="27" t="s">
        <v>10</v>
      </c>
      <c r="G1" s="26">
        <f>EDATE(G$3,1)-G$3</f>
        <v>30</v>
      </c>
      <c r="H1" s="32">
        <f>EDATE(H$3,1)-H$3</f>
        <v>31</v>
      </c>
      <c r="I1" s="26">
        <f>EDATE(I$3,1)-I$3</f>
        <v>30</v>
      </c>
      <c r="J1" s="32">
        <f t="shared" ref="J1:P1" si="0">EDATE(J$3,1)-J$3</f>
        <v>31</v>
      </c>
      <c r="K1" s="26">
        <f t="shared" si="0"/>
        <v>31</v>
      </c>
      <c r="L1" s="32">
        <f t="shared" si="0"/>
        <v>28</v>
      </c>
      <c r="M1" s="26">
        <f t="shared" si="0"/>
        <v>31</v>
      </c>
      <c r="N1" s="32">
        <f t="shared" si="0"/>
        <v>30</v>
      </c>
      <c r="O1" s="26">
        <f t="shared" si="0"/>
        <v>31</v>
      </c>
      <c r="P1" s="32">
        <f t="shared" si="0"/>
        <v>30</v>
      </c>
      <c r="Q1" s="26">
        <f>EDATE(Q$3,1)-Q$3</f>
        <v>31</v>
      </c>
      <c r="R1" s="32">
        <f t="shared" ref="R1" si="1">EDATE(R$3,1)-R$3</f>
        <v>31</v>
      </c>
    </row>
    <row r="2" spans="1:20" hidden="1" outlineLevel="1" x14ac:dyDescent="0.25">
      <c r="G2">
        <v>0</v>
      </c>
      <c r="H2" s="29">
        <f>G2+1</f>
        <v>1</v>
      </c>
      <c r="I2">
        <f t="shared" ref="I2" si="2">H2+1</f>
        <v>2</v>
      </c>
      <c r="J2" s="29">
        <f t="shared" ref="J2" si="3">I2+1</f>
        <v>3</v>
      </c>
      <c r="K2">
        <f t="shared" ref="K2" si="4">J2+1</f>
        <v>4</v>
      </c>
      <c r="L2" s="29">
        <f t="shared" ref="L2" si="5">K2+1</f>
        <v>5</v>
      </c>
      <c r="M2">
        <f t="shared" ref="M2" si="6">L2+1</f>
        <v>6</v>
      </c>
      <c r="N2" s="29">
        <f t="shared" ref="N2" si="7">M2+1</f>
        <v>7</v>
      </c>
      <c r="O2">
        <f t="shared" ref="O2" si="8">N2+1</f>
        <v>8</v>
      </c>
      <c r="P2" s="29">
        <f t="shared" ref="P2:R2" si="9">O2+1</f>
        <v>9</v>
      </c>
      <c r="Q2">
        <f t="shared" si="9"/>
        <v>10</v>
      </c>
      <c r="R2" s="29">
        <f t="shared" si="9"/>
        <v>11</v>
      </c>
    </row>
    <row r="3" spans="1:20" hidden="1" outlineLevel="1" x14ac:dyDescent="0.25">
      <c r="G3" s="6">
        <v>44075</v>
      </c>
      <c r="H3" s="33">
        <f t="shared" ref="H3:I3" si="10">EDATE(G3,1)</f>
        <v>44105</v>
      </c>
      <c r="I3" s="6">
        <f t="shared" si="10"/>
        <v>44136</v>
      </c>
      <c r="J3" s="33">
        <f t="shared" ref="J3" si="11">EDATE(I3,1)</f>
        <v>44166</v>
      </c>
      <c r="K3" s="6">
        <f t="shared" ref="K3" si="12">EDATE(J3,1)</f>
        <v>44197</v>
      </c>
      <c r="L3" s="33">
        <f t="shared" ref="L3" si="13">EDATE(K3,1)</f>
        <v>44228</v>
      </c>
      <c r="M3" s="6">
        <f t="shared" ref="M3" si="14">EDATE(L3,1)</f>
        <v>44256</v>
      </c>
      <c r="N3" s="33">
        <f t="shared" ref="N3" si="15">EDATE(M3,1)</f>
        <v>44287</v>
      </c>
      <c r="O3" s="6">
        <f t="shared" ref="O3" si="16">EDATE(N3,1)</f>
        <v>44317</v>
      </c>
      <c r="P3" s="33">
        <f t="shared" ref="P3:R3" si="17">EDATE(O3,1)</f>
        <v>44348</v>
      </c>
      <c r="Q3" s="6">
        <f t="shared" si="17"/>
        <v>44378</v>
      </c>
      <c r="R3" s="33">
        <f t="shared" si="17"/>
        <v>44409</v>
      </c>
    </row>
    <row r="4" spans="1:20" collapsed="1" x14ac:dyDescent="0.25">
      <c r="F4" s="7" t="str">
        <f>MID('BPC Data'!$D$1,FIND("-",'BPC Data'!$D$1)+2,1000)</f>
        <v>Signature Healthcare</v>
      </c>
      <c r="G4" s="6"/>
      <c r="H4" s="33"/>
      <c r="I4" s="6"/>
      <c r="J4" s="33"/>
      <c r="K4" s="6"/>
      <c r="L4" s="33"/>
      <c r="M4" s="6"/>
      <c r="N4" s="33"/>
      <c r="O4" s="6"/>
      <c r="P4" s="33"/>
      <c r="Q4" s="6"/>
      <c r="R4" s="33"/>
    </row>
    <row r="5" spans="1:20" x14ac:dyDescent="0.25">
      <c r="F5" s="7" t="str">
        <f>"Trailing "&amp;COUNT(G3:R3)&amp;" Month Financial Summary"</f>
        <v>Trailing 12 Month Financial Summary</v>
      </c>
      <c r="G5" s="6"/>
      <c r="H5" s="33"/>
      <c r="I5" s="6"/>
      <c r="J5" s="33"/>
      <c r="K5" s="6"/>
      <c r="L5" s="33"/>
      <c r="M5" s="6"/>
      <c r="N5" s="33"/>
      <c r="O5" s="6"/>
      <c r="P5" s="33"/>
      <c r="Q5" s="6"/>
      <c r="R5" s="33"/>
    </row>
    <row r="6" spans="1:20" x14ac:dyDescent="0.25">
      <c r="F6" s="7" t="str">
        <f>"As of "&amp;TEXT(EOMONTH(MAX($G$3:$R$3),0),"MMM DD, YYYY")</f>
        <v>As of Aug 31, 2021</v>
      </c>
      <c r="G6" s="6"/>
      <c r="H6" s="33"/>
      <c r="I6" s="6"/>
      <c r="J6" s="33"/>
      <c r="K6" s="6"/>
      <c r="L6" s="33"/>
      <c r="M6" s="6"/>
      <c r="N6" s="33"/>
      <c r="O6" s="6"/>
      <c r="P6" s="33"/>
      <c r="Q6" s="6"/>
      <c r="R6" s="33"/>
    </row>
    <row r="8" spans="1:20" x14ac:dyDescent="0.25">
      <c r="F8" s="22"/>
      <c r="G8" s="10" t="str">
        <f>TEXT(G$3,"MMM YYYY")</f>
        <v>Sep 2020</v>
      </c>
      <c r="H8" s="34" t="str">
        <f t="shared" ref="H8:R8" si="18">TEXT(H$3,"MMM YYYY")</f>
        <v>Oct 2020</v>
      </c>
      <c r="I8" s="10" t="str">
        <f t="shared" si="18"/>
        <v>Nov 2020</v>
      </c>
      <c r="J8" s="34" t="str">
        <f t="shared" si="18"/>
        <v>Dec 2020</v>
      </c>
      <c r="K8" s="10" t="str">
        <f t="shared" si="18"/>
        <v>Jan 2021</v>
      </c>
      <c r="L8" s="34" t="str">
        <f t="shared" si="18"/>
        <v>Feb 2021</v>
      </c>
      <c r="M8" s="10" t="str">
        <f t="shared" si="18"/>
        <v>Mar 2021</v>
      </c>
      <c r="N8" s="34" t="str">
        <f t="shared" si="18"/>
        <v>Apr 2021</v>
      </c>
      <c r="O8" s="10" t="str">
        <f t="shared" si="18"/>
        <v>May 2021</v>
      </c>
      <c r="P8" s="34" t="str">
        <f t="shared" si="18"/>
        <v>Jun 2021</v>
      </c>
      <c r="Q8" s="10" t="str">
        <f t="shared" si="18"/>
        <v>Jul 2021</v>
      </c>
      <c r="R8" s="34" t="str">
        <f t="shared" si="18"/>
        <v>Aug 2021</v>
      </c>
    </row>
    <row r="9" spans="1:20" s="5" customFormat="1" x14ac:dyDescent="0.25">
      <c r="A9" s="5">
        <v>1</v>
      </c>
      <c r="F9" s="23" t="str">
        <f>INDEX(PropertyList!$D:$D,MATCH(Summary!$A9,PropertyList!$C:$C,0))</f>
        <v>SHC of Whitesburg Gardens</v>
      </c>
      <c r="G9" s="11"/>
      <c r="H9" s="182"/>
      <c r="I9" s="11"/>
      <c r="J9" s="182"/>
      <c r="K9" s="11"/>
      <c r="L9" s="182"/>
      <c r="M9" s="11"/>
      <c r="N9" s="182"/>
      <c r="O9" s="11"/>
      <c r="P9" s="182"/>
      <c r="Q9" s="11"/>
      <c r="R9" s="182"/>
      <c r="T9" s="180"/>
    </row>
    <row r="10" spans="1:20" s="17" customFormat="1" x14ac:dyDescent="0.25">
      <c r="A10" s="17">
        <f>IF(AND(F10&lt;&gt;"",D10=""),A9+1,A9)</f>
        <v>1</v>
      </c>
      <c r="C10" t="str">
        <f>$F9</f>
        <v>SHC of Whitesburg Gardens</v>
      </c>
      <c r="D10" s="3" t="s">
        <v>1</v>
      </c>
      <c r="F10" s="24" t="str">
        <f>_xll.EVDES(D10)</f>
        <v>Total Payor Patient Days</v>
      </c>
      <c r="G10" s="19">
        <f ca="1">SUMIFS(OFFSET('BPC Data'!$F:$F,0,Summary!G$2),'BPC Data'!$E:$E,Summary!$D10,'BPC Data'!$B:$B,Summary!$C10)</f>
        <v>2697</v>
      </c>
      <c r="H10" s="183">
        <f ca="1">SUMIFS(OFFSET('BPC Data'!$F:$F,0,Summary!H$2),'BPC Data'!$E:$E,Summary!$D10,'BPC Data'!$B:$B,Summary!$C10)</f>
        <v>2663</v>
      </c>
      <c r="I10" s="19">
        <f ca="1">SUMIFS(OFFSET('BPC Data'!$F:$F,0,Summary!I$2),'BPC Data'!$E:$E,Summary!$D10,'BPC Data'!$B:$B,Summary!$C10)</f>
        <v>2777</v>
      </c>
      <c r="J10" s="183">
        <f ca="1">SUMIFS(OFFSET('BPC Data'!$F:$F,0,Summary!J$2),'BPC Data'!$E:$E,Summary!$D10,'BPC Data'!$B:$B,Summary!$C10)</f>
        <v>2901</v>
      </c>
      <c r="K10" s="19">
        <f ca="1">SUMIFS(OFFSET('BPC Data'!$F:$F,0,Summary!K$2),'BPC Data'!$E:$E,Summary!$D10,'BPC Data'!$B:$B,Summary!$C10)</f>
        <v>2783</v>
      </c>
      <c r="L10" s="183">
        <f ca="1">SUMIFS(OFFSET('BPC Data'!$F:$F,0,Summary!L$2),'BPC Data'!$E:$E,Summary!$D10,'BPC Data'!$B:$B,Summary!$C10)</f>
        <v>2718</v>
      </c>
      <c r="M10" s="19">
        <f ca="1">SUMIFS(OFFSET('BPC Data'!$F:$F,0,Summary!M$2),'BPC Data'!$E:$E,Summary!$D10,'BPC Data'!$B:$B,Summary!$C10)</f>
        <v>2585</v>
      </c>
      <c r="N10" s="183">
        <f ca="1">SUMIFS(OFFSET('BPC Data'!$F:$F,0,Summary!N$2),'BPC Data'!$E:$E,Summary!$D10,'BPC Data'!$B:$B,Summary!$C10)</f>
        <v>2682</v>
      </c>
      <c r="O10" s="19">
        <f ca="1">SUMIFS(OFFSET('BPC Data'!$F:$F,0,Summary!O$2),'BPC Data'!$E:$E,Summary!$D10,'BPC Data'!$B:$B,Summary!$C10)</f>
        <v>2842</v>
      </c>
      <c r="P10" s="183">
        <f ca="1">SUMIFS(OFFSET('BPC Data'!$F:$F,0,Summary!P$2),'BPC Data'!$E:$E,Summary!$D10,'BPC Data'!$B:$B,Summary!$C10)</f>
        <v>2914</v>
      </c>
      <c r="Q10" s="19">
        <f ca="1">SUMIFS(OFFSET('BPC Data'!$F:$F,0,Summary!Q$2),'BPC Data'!$E:$E,Summary!$D10,'BPC Data'!$B:$B,Summary!$C10)</f>
        <v>2845</v>
      </c>
      <c r="R10" s="183">
        <f ca="1">SUMIFS(OFFSET('BPC Data'!$F:$F,0,Summary!R$2),'BPC Data'!$E:$E,Summary!$D10,'BPC Data'!$B:$B,Summary!$C10)</f>
        <v>2953</v>
      </c>
      <c r="S10" s="187">
        <f ca="1">SUM(G10:R10)</f>
        <v>33360</v>
      </c>
      <c r="T10" s="181"/>
    </row>
    <row r="11" spans="1:20" s="17" customFormat="1" x14ac:dyDescent="0.25">
      <c r="A11" s="17">
        <f t="shared" ref="A11:A19" si="19">IF(AND(F11&lt;&gt;"",D11=""),A10+1,A10)</f>
        <v>1</v>
      </c>
      <c r="C11" t="str">
        <f>$F9</f>
        <v>SHC of Whitesburg Gardens</v>
      </c>
      <c r="D11" s="3" t="s">
        <v>9</v>
      </c>
      <c r="F11" s="24" t="str">
        <f>_xll.EVDES(D11)</f>
        <v>Total Available Beds</v>
      </c>
      <c r="G11" s="19">
        <f ca="1">SUMIFS(OFFSET('BPC Data'!$F:$F,0,Summary!G$2),'BPC Data'!$E:$E,Summary!$D11,'BPC Data'!$B:$B,Summary!$C11)</f>
        <v>150</v>
      </c>
      <c r="H11" s="183">
        <f ca="1">SUMIFS(OFFSET('BPC Data'!$F:$F,0,Summary!H$2),'BPC Data'!$E:$E,Summary!$D11,'BPC Data'!$B:$B,Summary!$C11)</f>
        <v>150</v>
      </c>
      <c r="I11" s="19">
        <f ca="1">SUMIFS(OFFSET('BPC Data'!$F:$F,0,Summary!I$2),'BPC Data'!$E:$E,Summary!$D11,'BPC Data'!$B:$B,Summary!$C11)</f>
        <v>150</v>
      </c>
      <c r="J11" s="183">
        <f ca="1">SUMIFS(OFFSET('BPC Data'!$F:$F,0,Summary!J$2),'BPC Data'!$E:$E,Summary!$D11,'BPC Data'!$B:$B,Summary!$C11)</f>
        <v>150</v>
      </c>
      <c r="K11" s="19">
        <f ca="1">SUMIFS(OFFSET('BPC Data'!$F:$F,0,Summary!K$2),'BPC Data'!$E:$E,Summary!$D11,'BPC Data'!$B:$B,Summary!$C11)</f>
        <v>150</v>
      </c>
      <c r="L11" s="183">
        <f ca="1">SUMIFS(OFFSET('BPC Data'!$F:$F,0,Summary!L$2),'BPC Data'!$E:$E,Summary!$D11,'BPC Data'!$B:$B,Summary!$C11)</f>
        <v>150</v>
      </c>
      <c r="M11" s="19">
        <f ca="1">SUMIFS(OFFSET('BPC Data'!$F:$F,0,Summary!M$2),'BPC Data'!$E:$E,Summary!$D11,'BPC Data'!$B:$B,Summary!$C11)</f>
        <v>150</v>
      </c>
      <c r="N11" s="183">
        <f ca="1">SUMIFS(OFFSET('BPC Data'!$F:$F,0,Summary!N$2),'BPC Data'!$E:$E,Summary!$D11,'BPC Data'!$B:$B,Summary!$C11)</f>
        <v>150</v>
      </c>
      <c r="O11" s="19">
        <f ca="1">SUMIFS(OFFSET('BPC Data'!$F:$F,0,Summary!O$2),'BPC Data'!$E:$E,Summary!$D11,'BPC Data'!$B:$B,Summary!$C11)</f>
        <v>150</v>
      </c>
      <c r="P11" s="183">
        <f ca="1">SUMIFS(OFFSET('BPC Data'!$F:$F,0,Summary!P$2),'BPC Data'!$E:$E,Summary!$D11,'BPC Data'!$B:$B,Summary!$C11)</f>
        <v>150</v>
      </c>
      <c r="Q11" s="19">
        <f ca="1">SUMIFS(OFFSET('BPC Data'!$F:$F,0,Summary!Q$2),'BPC Data'!$E:$E,Summary!$D11,'BPC Data'!$B:$B,Summary!$C11)</f>
        <v>150</v>
      </c>
      <c r="R11" s="183">
        <f ca="1">SUMIFS(OFFSET('BPC Data'!$F:$F,0,Summary!R$2),'BPC Data'!$E:$E,Summary!$D11,'BPC Data'!$B:$B,Summary!$C11)</f>
        <v>150</v>
      </c>
      <c r="S11" s="187">
        <f ca="1">R11</f>
        <v>150</v>
      </c>
      <c r="T11" s="181"/>
    </row>
    <row r="12" spans="1:20" x14ac:dyDescent="0.25">
      <c r="A12" s="17">
        <f t="shared" si="19"/>
        <v>1</v>
      </c>
      <c r="C12" t="str">
        <f>$F9</f>
        <v>SHC of Whitesburg Gardens</v>
      </c>
      <c r="D12" s="3" t="s">
        <v>4</v>
      </c>
      <c r="F12" s="24" t="str">
        <f>_xll.EVDES(D12)</f>
        <v>Total Tenant Revenues</v>
      </c>
      <c r="G12" s="19">
        <f ca="1">SUMIFS(OFFSET('BPC Data'!$F:$F,0,Summary!G$2),'BPC Data'!$E:$E,Summary!$D12,'BPC Data'!$B:$B,Summary!$C12)</f>
        <v>963029</v>
      </c>
      <c r="H12" s="183">
        <f ca="1">SUMIFS(OFFSET('BPC Data'!$F:$F,0,Summary!H$2),'BPC Data'!$E:$E,Summary!$D12,'BPC Data'!$B:$B,Summary!$C12)</f>
        <v>887608</v>
      </c>
      <c r="I12" s="19">
        <f ca="1">SUMIFS(OFFSET('BPC Data'!$F:$F,0,Summary!I$2),'BPC Data'!$E:$E,Summary!$D12,'BPC Data'!$B:$B,Summary!$C12)</f>
        <v>1018716</v>
      </c>
      <c r="J12" s="183">
        <f ca="1">SUMIFS(OFFSET('BPC Data'!$F:$F,0,Summary!J$2),'BPC Data'!$E:$E,Summary!$D12,'BPC Data'!$B:$B,Summary!$C12)</f>
        <v>1976214</v>
      </c>
      <c r="K12" s="19">
        <f ca="1">SUMIFS(OFFSET('BPC Data'!$F:$F,0,Summary!K$2),'BPC Data'!$E:$E,Summary!$D12,'BPC Data'!$B:$B,Summary!$C12)</f>
        <v>872769</v>
      </c>
      <c r="L12" s="183">
        <f ca="1">SUMIFS(OFFSET('BPC Data'!$F:$F,0,Summary!L$2),'BPC Data'!$E:$E,Summary!$D12,'BPC Data'!$B:$B,Summary!$C12)</f>
        <v>1042231</v>
      </c>
      <c r="M12" s="19">
        <f ca="1">SUMIFS(OFFSET('BPC Data'!$F:$F,0,Summary!M$2),'BPC Data'!$E:$E,Summary!$D12,'BPC Data'!$B:$B,Summary!$C12)</f>
        <v>786518</v>
      </c>
      <c r="N12" s="183">
        <f ca="1">SUMIFS(OFFSET('BPC Data'!$F:$F,0,Summary!N$2),'BPC Data'!$E:$E,Summary!$D12,'BPC Data'!$B:$B,Summary!$C12)</f>
        <v>833734</v>
      </c>
      <c r="O12" s="19">
        <f ca="1">SUMIFS(OFFSET('BPC Data'!$F:$F,0,Summary!O$2),'BPC Data'!$E:$E,Summary!$D12,'BPC Data'!$B:$B,Summary!$C12)</f>
        <v>870956</v>
      </c>
      <c r="P12" s="183">
        <f ca="1">SUMIFS(OFFSET('BPC Data'!$F:$F,0,Summary!P$2),'BPC Data'!$E:$E,Summary!$D12,'BPC Data'!$B:$B,Summary!$C12)</f>
        <v>875399</v>
      </c>
      <c r="Q12" s="19">
        <f ca="1">SUMIFS(OFFSET('BPC Data'!$F:$F,0,Summary!Q$2),'BPC Data'!$E:$E,Summary!$D12,'BPC Data'!$B:$B,Summary!$C12)</f>
        <v>818576</v>
      </c>
      <c r="R12" s="183">
        <f ca="1">SUMIFS(OFFSET('BPC Data'!$F:$F,0,Summary!R$2),'BPC Data'!$E:$E,Summary!$D12,'BPC Data'!$B:$B,Summary!$C12)</f>
        <v>913251</v>
      </c>
      <c r="S12" s="187">
        <f t="shared" ref="S12:S74" ca="1" si="20">SUM(G12:R12)</f>
        <v>11859001</v>
      </c>
    </row>
    <row r="13" spans="1:20" x14ac:dyDescent="0.25">
      <c r="A13" s="17">
        <f t="shared" si="19"/>
        <v>1</v>
      </c>
      <c r="C13" t="str">
        <f>$F9</f>
        <v>SHC of Whitesburg Gardens</v>
      </c>
      <c r="D13" s="3" t="s">
        <v>5</v>
      </c>
      <c r="F13" s="24" t="str">
        <f>_xll.EVDES(D13)</f>
        <v>Tenant Operating Expenses</v>
      </c>
      <c r="G13" s="19">
        <f ca="1">SUMIFS(OFFSET('BPC Data'!$F:$F,0,Summary!G$2),'BPC Data'!$E:$E,Summary!$D13,'BPC Data'!$B:$B,Summary!$C13)</f>
        <v>710363</v>
      </c>
      <c r="H13" s="183">
        <f ca="1">SUMIFS(OFFSET('BPC Data'!$F:$F,0,Summary!H$2),'BPC Data'!$E:$E,Summary!$D13,'BPC Data'!$B:$B,Summary!$C13)</f>
        <v>667844</v>
      </c>
      <c r="I13" s="19">
        <f ca="1">SUMIFS(OFFSET('BPC Data'!$F:$F,0,Summary!I$2),'BPC Data'!$E:$E,Summary!$D13,'BPC Data'!$B:$B,Summary!$C13)</f>
        <v>715006</v>
      </c>
      <c r="J13" s="183">
        <f ca="1">SUMIFS(OFFSET('BPC Data'!$F:$F,0,Summary!J$2),'BPC Data'!$E:$E,Summary!$D13,'BPC Data'!$B:$B,Summary!$C13)</f>
        <v>1017896</v>
      </c>
      <c r="K13" s="19">
        <f ca="1">SUMIFS(OFFSET('BPC Data'!$F:$F,0,Summary!K$2),'BPC Data'!$E:$E,Summary!$D13,'BPC Data'!$B:$B,Summary!$C13)</f>
        <v>770322</v>
      </c>
      <c r="L13" s="183">
        <f ca="1">SUMIFS(OFFSET('BPC Data'!$F:$F,0,Summary!L$2),'BPC Data'!$E:$E,Summary!$D13,'BPC Data'!$B:$B,Summary!$C13)</f>
        <v>745011</v>
      </c>
      <c r="M13" s="19">
        <f ca="1">SUMIFS(OFFSET('BPC Data'!$F:$F,0,Summary!M$2),'BPC Data'!$E:$E,Summary!$D13,'BPC Data'!$B:$B,Summary!$C13)</f>
        <v>645620</v>
      </c>
      <c r="N13" s="183">
        <f ca="1">SUMIFS(OFFSET('BPC Data'!$F:$F,0,Summary!N$2),'BPC Data'!$E:$E,Summary!$D13,'BPC Data'!$B:$B,Summary!$C13)</f>
        <v>712111</v>
      </c>
      <c r="O13" s="19">
        <f ca="1">SUMIFS(OFFSET('BPC Data'!$F:$F,0,Summary!O$2),'BPC Data'!$E:$E,Summary!$D13,'BPC Data'!$B:$B,Summary!$C13)</f>
        <v>695003</v>
      </c>
      <c r="P13" s="183">
        <f ca="1">SUMIFS(OFFSET('BPC Data'!$F:$F,0,Summary!P$2),'BPC Data'!$E:$E,Summary!$D13,'BPC Data'!$B:$B,Summary!$C13)</f>
        <v>688176</v>
      </c>
      <c r="Q13" s="19">
        <f ca="1">SUMIFS(OFFSET('BPC Data'!$F:$F,0,Summary!Q$2),'BPC Data'!$E:$E,Summary!$D13,'BPC Data'!$B:$B,Summary!$C13)</f>
        <v>688046</v>
      </c>
      <c r="R13" s="183">
        <f ca="1">SUMIFS(OFFSET('BPC Data'!$F:$F,0,Summary!R$2),'BPC Data'!$E:$E,Summary!$D13,'BPC Data'!$B:$B,Summary!$C13)</f>
        <v>713670</v>
      </c>
      <c r="S13" s="187">
        <f t="shared" ca="1" si="20"/>
        <v>8769068</v>
      </c>
    </row>
    <row r="14" spans="1:20" x14ac:dyDescent="0.25">
      <c r="A14" s="17">
        <f t="shared" si="19"/>
        <v>1</v>
      </c>
      <c r="C14" t="str">
        <f>$F9</f>
        <v>SHC of Whitesburg Gardens</v>
      </c>
      <c r="D14" s="3" t="s">
        <v>2</v>
      </c>
      <c r="F14" s="24" t="str">
        <f>_xll.EVDES(D14)</f>
        <v>Tenant Bad Debt Expense</v>
      </c>
      <c r="G14" s="19">
        <f ca="1">SUMIFS(OFFSET('BPC Data'!$F:$F,0,Summary!G$2),'BPC Data'!$E:$E,Summary!$D14,'BPC Data'!$B:$B,Summary!$C14)</f>
        <v>10310</v>
      </c>
      <c r="H14" s="183">
        <f ca="1">SUMIFS(OFFSET('BPC Data'!$F:$F,0,Summary!H$2),'BPC Data'!$E:$E,Summary!$D14,'BPC Data'!$B:$B,Summary!$C14)</f>
        <v>9625</v>
      </c>
      <c r="I14" s="19">
        <f ca="1">SUMIFS(OFFSET('BPC Data'!$F:$F,0,Summary!I$2),'BPC Data'!$E:$E,Summary!$D14,'BPC Data'!$B:$B,Summary!$C14)</f>
        <v>0</v>
      </c>
      <c r="J14" s="183">
        <f ca="1">SUMIFS(OFFSET('BPC Data'!$F:$F,0,Summary!J$2),'BPC Data'!$E:$E,Summary!$D14,'BPC Data'!$B:$B,Summary!$C14)</f>
        <v>14605</v>
      </c>
      <c r="K14" s="19">
        <f ca="1">SUMIFS(OFFSET('BPC Data'!$F:$F,0,Summary!K$2),'BPC Data'!$E:$E,Summary!$D14,'BPC Data'!$B:$B,Summary!$C14)</f>
        <v>15000</v>
      </c>
      <c r="L14" s="183">
        <f ca="1">SUMIFS(OFFSET('BPC Data'!$F:$F,0,Summary!L$2),'BPC Data'!$E:$E,Summary!$D14,'BPC Data'!$B:$B,Summary!$C14)</f>
        <v>14000</v>
      </c>
      <c r="M14" s="19">
        <f ca="1">SUMIFS(OFFSET('BPC Data'!$F:$F,0,Summary!M$2),'BPC Data'!$E:$E,Summary!$D14,'BPC Data'!$B:$B,Summary!$C14)</f>
        <v>0</v>
      </c>
      <c r="N14" s="183">
        <f ca="1">SUMIFS(OFFSET('BPC Data'!$F:$F,0,Summary!N$2),'BPC Data'!$E:$E,Summary!$D14,'BPC Data'!$B:$B,Summary!$C14)</f>
        <v>14734</v>
      </c>
      <c r="O14" s="19">
        <f ca="1">SUMIFS(OFFSET('BPC Data'!$F:$F,0,Summary!O$2),'BPC Data'!$E:$E,Summary!$D14,'BPC Data'!$B:$B,Summary!$C14)</f>
        <v>15678</v>
      </c>
      <c r="P14" s="183">
        <f ca="1">SUMIFS(OFFSET('BPC Data'!$F:$F,0,Summary!P$2),'BPC Data'!$E:$E,Summary!$D14,'BPC Data'!$B:$B,Summary!$C14)</f>
        <v>72753</v>
      </c>
      <c r="Q14" s="19">
        <f ca="1">SUMIFS(OFFSET('BPC Data'!$F:$F,0,Summary!Q$2),'BPC Data'!$E:$E,Summary!$D14,'BPC Data'!$B:$B,Summary!$C14)</f>
        <v>11715</v>
      </c>
      <c r="R14" s="183">
        <f ca="1">SUMIFS(OFFSET('BPC Data'!$F:$F,0,Summary!R$2),'BPC Data'!$E:$E,Summary!$D14,'BPC Data'!$B:$B,Summary!$C14)</f>
        <v>20170</v>
      </c>
      <c r="S14" s="187">
        <f t="shared" ca="1" si="20"/>
        <v>198590</v>
      </c>
    </row>
    <row r="15" spans="1:20" x14ac:dyDescent="0.25">
      <c r="A15" s="17">
        <f t="shared" si="19"/>
        <v>1</v>
      </c>
      <c r="C15" t="str">
        <f>$F9</f>
        <v>SHC of Whitesburg Gardens</v>
      </c>
      <c r="D15" s="2" t="s">
        <v>6</v>
      </c>
      <c r="F15" s="24" t="str">
        <f>_xll.EVDES(D15)</f>
        <v>EBITDARM</v>
      </c>
      <c r="G15" s="19">
        <f ca="1">SUMIFS(OFFSET('BPC Data'!$F:$F,0,Summary!G$2),'BPC Data'!$E:$E,Summary!$D15,'BPC Data'!$B:$B,Summary!$C15)</f>
        <v>252666</v>
      </c>
      <c r="H15" s="183">
        <f ca="1">SUMIFS(OFFSET('BPC Data'!$F:$F,0,Summary!H$2),'BPC Data'!$E:$E,Summary!$D15,'BPC Data'!$B:$B,Summary!$C15)</f>
        <v>219764</v>
      </c>
      <c r="I15" s="19">
        <f ca="1">SUMIFS(OFFSET('BPC Data'!$F:$F,0,Summary!I$2),'BPC Data'!$E:$E,Summary!$D15,'BPC Data'!$B:$B,Summary!$C15)</f>
        <v>303710</v>
      </c>
      <c r="J15" s="183">
        <f ca="1">SUMIFS(OFFSET('BPC Data'!$F:$F,0,Summary!J$2),'BPC Data'!$E:$E,Summary!$D15,'BPC Data'!$B:$B,Summary!$C15)</f>
        <v>958318</v>
      </c>
      <c r="K15" s="19">
        <f ca="1">SUMIFS(OFFSET('BPC Data'!$F:$F,0,Summary!K$2),'BPC Data'!$E:$E,Summary!$D15,'BPC Data'!$B:$B,Summary!$C15)</f>
        <v>102447</v>
      </c>
      <c r="L15" s="183">
        <f ca="1">SUMIFS(OFFSET('BPC Data'!$F:$F,0,Summary!L$2),'BPC Data'!$E:$E,Summary!$D15,'BPC Data'!$B:$B,Summary!$C15)</f>
        <v>297220</v>
      </c>
      <c r="M15" s="19">
        <f ca="1">SUMIFS(OFFSET('BPC Data'!$F:$F,0,Summary!M$2),'BPC Data'!$E:$E,Summary!$D15,'BPC Data'!$B:$B,Summary!$C15)</f>
        <v>140898</v>
      </c>
      <c r="N15" s="183">
        <f ca="1">SUMIFS(OFFSET('BPC Data'!$F:$F,0,Summary!N$2),'BPC Data'!$E:$E,Summary!$D15,'BPC Data'!$B:$B,Summary!$C15)</f>
        <v>121623</v>
      </c>
      <c r="O15" s="19">
        <f ca="1">SUMIFS(OFFSET('BPC Data'!$F:$F,0,Summary!O$2),'BPC Data'!$E:$E,Summary!$D15,'BPC Data'!$B:$B,Summary!$C15)</f>
        <v>175953</v>
      </c>
      <c r="P15" s="183">
        <f ca="1">SUMIFS(OFFSET('BPC Data'!$F:$F,0,Summary!P$2),'BPC Data'!$E:$E,Summary!$D15,'BPC Data'!$B:$B,Summary!$C15)</f>
        <v>187223</v>
      </c>
      <c r="Q15" s="19">
        <f ca="1">SUMIFS(OFFSET('BPC Data'!$F:$F,0,Summary!Q$2),'BPC Data'!$E:$E,Summary!$D15,'BPC Data'!$B:$B,Summary!$C15)</f>
        <v>130530</v>
      </c>
      <c r="R15" s="183">
        <f ca="1">SUMIFS(OFFSET('BPC Data'!$F:$F,0,Summary!R$2),'BPC Data'!$E:$E,Summary!$D15,'BPC Data'!$B:$B,Summary!$C15)</f>
        <v>199581</v>
      </c>
      <c r="S15" s="187">
        <f t="shared" ca="1" si="20"/>
        <v>3089933</v>
      </c>
    </row>
    <row r="16" spans="1:20" x14ac:dyDescent="0.25">
      <c r="A16" s="17">
        <f t="shared" si="19"/>
        <v>1</v>
      </c>
      <c r="C16" t="str">
        <f>$F9</f>
        <v>SHC of Whitesburg Gardens</v>
      </c>
      <c r="D16" s="2" t="s">
        <v>7</v>
      </c>
      <c r="F16" s="24" t="str">
        <f>_xll.EVDES(D16)</f>
        <v>Tenant Management Fee - Actual</v>
      </c>
      <c r="G16" s="19">
        <f ca="1">SUMIFS(OFFSET('BPC Data'!$F:$F,0,Summary!G$2),'BPC Data'!$E:$E,Summary!$D16,'BPC Data'!$B:$B,Summary!$C16)</f>
        <v>47904</v>
      </c>
      <c r="H16" s="183">
        <f ca="1">SUMIFS(OFFSET('BPC Data'!$F:$F,0,Summary!H$2),'BPC Data'!$E:$E,Summary!$D16,'BPC Data'!$B:$B,Summary!$C16)</f>
        <v>44824</v>
      </c>
      <c r="I16" s="19">
        <f ca="1">SUMIFS(OFFSET('BPC Data'!$F:$F,0,Summary!I$2),'BPC Data'!$E:$E,Summary!$D16,'BPC Data'!$B:$B,Summary!$C16)</f>
        <v>51445</v>
      </c>
      <c r="J16" s="183">
        <f ca="1">SUMIFS(OFFSET('BPC Data'!$F:$F,0,Summary!J$2),'BPC Data'!$E:$E,Summary!$D16,'BPC Data'!$B:$B,Summary!$C16)</f>
        <v>102855</v>
      </c>
      <c r="K16" s="19">
        <f ca="1">SUMIFS(OFFSET('BPC Data'!$F:$F,0,Summary!K$2),'BPC Data'!$E:$E,Summary!$D16,'BPC Data'!$B:$B,Summary!$C16)</f>
        <v>44075</v>
      </c>
      <c r="L16" s="183">
        <f ca="1">SUMIFS(OFFSET('BPC Data'!$F:$F,0,Summary!L$2),'BPC Data'!$E:$E,Summary!$D16,'BPC Data'!$B:$B,Summary!$C16)</f>
        <v>52633</v>
      </c>
      <c r="M16" s="19">
        <f ca="1">SUMIFS(OFFSET('BPC Data'!$F:$F,0,Summary!M$2),'BPC Data'!$E:$E,Summary!$D16,'BPC Data'!$B:$B,Summary!$C16)</f>
        <v>39719</v>
      </c>
      <c r="N16" s="183">
        <f ca="1">SUMIFS(OFFSET('BPC Data'!$F:$F,0,Summary!N$2),'BPC Data'!$E:$E,Summary!$D16,'BPC Data'!$B:$B,Summary!$C16)</f>
        <v>42104</v>
      </c>
      <c r="O16" s="19">
        <f ca="1">SUMIFS(OFFSET('BPC Data'!$F:$F,0,Summary!O$2),'BPC Data'!$E:$E,Summary!$D16,'BPC Data'!$B:$B,Summary!$C16)</f>
        <v>43983</v>
      </c>
      <c r="P16" s="183">
        <f ca="1">SUMIFS(OFFSET('BPC Data'!$F:$F,0,Summary!P$2),'BPC Data'!$E:$E,Summary!$D16,'BPC Data'!$B:$B,Summary!$C16)</f>
        <v>44208</v>
      </c>
      <c r="Q16" s="19">
        <f ca="1">SUMIFS(OFFSET('BPC Data'!$F:$F,0,Summary!Q$2),'BPC Data'!$E:$E,Summary!$D16,'BPC Data'!$B:$B,Summary!$C16)</f>
        <v>41338</v>
      </c>
      <c r="R16" s="183">
        <f ca="1">SUMIFS(OFFSET('BPC Data'!$F:$F,0,Summary!R$2),'BPC Data'!$E:$E,Summary!$D16,'BPC Data'!$B:$B,Summary!$C16)</f>
        <v>46119</v>
      </c>
      <c r="S16" s="187">
        <f t="shared" ca="1" si="20"/>
        <v>601207</v>
      </c>
    </row>
    <row r="17" spans="1:20" x14ac:dyDescent="0.25">
      <c r="A17" s="17">
        <f t="shared" si="19"/>
        <v>1</v>
      </c>
      <c r="C17" t="str">
        <f>$F9</f>
        <v>SHC of Whitesburg Gardens</v>
      </c>
      <c r="D17" s="1" t="s">
        <v>8</v>
      </c>
      <c r="F17" s="24" t="str">
        <f>_xll.EVDES(D17)</f>
        <v>EBITDAR</v>
      </c>
      <c r="G17" s="19">
        <f ca="1">SUMIFS(OFFSET('BPC Data'!$F:$F,0,Summary!G$2),'BPC Data'!$E:$E,Summary!$D17,'BPC Data'!$B:$B,Summary!$C17)</f>
        <v>204762</v>
      </c>
      <c r="H17" s="183">
        <f ca="1">SUMIFS(OFFSET('BPC Data'!$F:$F,0,Summary!H$2),'BPC Data'!$E:$E,Summary!$D17,'BPC Data'!$B:$B,Summary!$C17)</f>
        <v>174940</v>
      </c>
      <c r="I17" s="19">
        <f ca="1">SUMIFS(OFFSET('BPC Data'!$F:$F,0,Summary!I$2),'BPC Data'!$E:$E,Summary!$D17,'BPC Data'!$B:$B,Summary!$C17)</f>
        <v>252265</v>
      </c>
      <c r="J17" s="183">
        <f ca="1">SUMIFS(OFFSET('BPC Data'!$F:$F,0,Summary!J$2),'BPC Data'!$E:$E,Summary!$D17,'BPC Data'!$B:$B,Summary!$C17)</f>
        <v>855463</v>
      </c>
      <c r="K17" s="19">
        <f ca="1">SUMIFS(OFFSET('BPC Data'!$F:$F,0,Summary!K$2),'BPC Data'!$E:$E,Summary!$D17,'BPC Data'!$B:$B,Summary!$C17)</f>
        <v>58372</v>
      </c>
      <c r="L17" s="183">
        <f ca="1">SUMIFS(OFFSET('BPC Data'!$F:$F,0,Summary!L$2),'BPC Data'!$E:$E,Summary!$D17,'BPC Data'!$B:$B,Summary!$C17)</f>
        <v>244587</v>
      </c>
      <c r="M17" s="19">
        <f ca="1">SUMIFS(OFFSET('BPC Data'!$F:$F,0,Summary!M$2),'BPC Data'!$E:$E,Summary!$D17,'BPC Data'!$B:$B,Summary!$C17)</f>
        <v>101179</v>
      </c>
      <c r="N17" s="183">
        <f ca="1">SUMIFS(OFFSET('BPC Data'!$F:$F,0,Summary!N$2),'BPC Data'!$E:$E,Summary!$D17,'BPC Data'!$B:$B,Summary!$C17)</f>
        <v>79519</v>
      </c>
      <c r="O17" s="19">
        <f ca="1">SUMIFS(OFFSET('BPC Data'!$F:$F,0,Summary!O$2),'BPC Data'!$E:$E,Summary!$D17,'BPC Data'!$B:$B,Summary!$C17)</f>
        <v>131970</v>
      </c>
      <c r="P17" s="183">
        <f ca="1">SUMIFS(OFFSET('BPC Data'!$F:$F,0,Summary!P$2),'BPC Data'!$E:$E,Summary!$D17,'BPC Data'!$B:$B,Summary!$C17)</f>
        <v>143015</v>
      </c>
      <c r="Q17" s="19">
        <f ca="1">SUMIFS(OFFSET('BPC Data'!$F:$F,0,Summary!Q$2),'BPC Data'!$E:$E,Summary!$D17,'BPC Data'!$B:$B,Summary!$C17)</f>
        <v>89192</v>
      </c>
      <c r="R17" s="183">
        <f ca="1">SUMIFS(OFFSET('BPC Data'!$F:$F,0,Summary!R$2),'BPC Data'!$E:$E,Summary!$D17,'BPC Data'!$B:$B,Summary!$C17)</f>
        <v>153462</v>
      </c>
      <c r="S17" s="187">
        <f t="shared" ca="1" si="20"/>
        <v>2488726</v>
      </c>
    </row>
    <row r="18" spans="1:20" x14ac:dyDescent="0.25">
      <c r="A18" s="17">
        <f t="shared" si="19"/>
        <v>1</v>
      </c>
      <c r="C18" t="str">
        <f>$F9</f>
        <v>SHC of Whitesburg Gardens</v>
      </c>
      <c r="D18" s="2" t="str">
        <f xml:space="preserve"> _xll.EPMOlapMemberO("[ACCOUNT].[H1].[T_RENT_EXP]","","T_RENT_EXP - Tenant Rent Expense","","000")</f>
        <v>T_RENT_EXP - Tenant Rent Expense</v>
      </c>
      <c r="F18" s="24" t="str">
        <f>_xll.EVDES(D18)</f>
        <v>Tenant Rent Expense</v>
      </c>
      <c r="G18" s="19">
        <f ca="1">SUMIFS(OFFSET('BPC Data'!$F:$F,0,Summary!G$2),'BPC Data'!$E:$E,Summary!$D18,'BPC Data'!$B:$B,Summary!$C18)</f>
        <v>292155</v>
      </c>
      <c r="H18" s="183">
        <f ca="1">SUMIFS(OFFSET('BPC Data'!$F:$F,0,Summary!H$2),'BPC Data'!$E:$E,Summary!$D18,'BPC Data'!$B:$B,Summary!$C18)</f>
        <v>292155</v>
      </c>
      <c r="I18" s="19">
        <f ca="1">SUMIFS(OFFSET('BPC Data'!$F:$F,0,Summary!I$2),'BPC Data'!$E:$E,Summary!$D18,'BPC Data'!$B:$B,Summary!$C18)</f>
        <v>292155</v>
      </c>
      <c r="J18" s="183">
        <f ca="1">SUMIFS(OFFSET('BPC Data'!$F:$F,0,Summary!J$2),'BPC Data'!$E:$E,Summary!$D18,'BPC Data'!$B:$B,Summary!$C18)</f>
        <v>299459</v>
      </c>
      <c r="K18" s="19">
        <f ca="1">SUMIFS(OFFSET('BPC Data'!$F:$F,0,Summary!K$2),'BPC Data'!$E:$E,Summary!$D18,'BPC Data'!$B:$B,Summary!$C18)</f>
        <v>299459</v>
      </c>
      <c r="L18" s="183">
        <f ca="1">SUMIFS(OFFSET('BPC Data'!$F:$F,0,Summary!L$2),'BPC Data'!$E:$E,Summary!$D18,'BPC Data'!$B:$B,Summary!$C18)</f>
        <v>299459</v>
      </c>
      <c r="M18" s="19">
        <f ca="1">SUMIFS(OFFSET('BPC Data'!$F:$F,0,Summary!M$2),'BPC Data'!$E:$E,Summary!$D18,'BPC Data'!$B:$B,Summary!$C18)</f>
        <v>299459</v>
      </c>
      <c r="N18" s="183">
        <f ca="1">SUMIFS(OFFSET('BPC Data'!$F:$F,0,Summary!N$2),'BPC Data'!$E:$E,Summary!$D18,'BPC Data'!$B:$B,Summary!$C18)</f>
        <v>299459</v>
      </c>
      <c r="O18" s="19">
        <f ca="1">SUMIFS(OFFSET('BPC Data'!$F:$F,0,Summary!O$2),'BPC Data'!$E:$E,Summary!$D18,'BPC Data'!$B:$B,Summary!$C18)</f>
        <v>299459</v>
      </c>
      <c r="P18" s="183">
        <f ca="1">SUMIFS(OFFSET('BPC Data'!$F:$F,0,Summary!P$2),'BPC Data'!$E:$E,Summary!$D18,'BPC Data'!$B:$B,Summary!$C18)</f>
        <v>299459</v>
      </c>
      <c r="Q18" s="19">
        <f ca="1">SUMIFS(OFFSET('BPC Data'!$F:$F,0,Summary!Q$2),'BPC Data'!$E:$E,Summary!$D18,'BPC Data'!$B:$B,Summary!$C18)</f>
        <v>299459</v>
      </c>
      <c r="R18" s="183">
        <f ca="1">SUMIFS(OFFSET('BPC Data'!$F:$F,0,Summary!R$2),'BPC Data'!$E:$E,Summary!$D18,'BPC Data'!$B:$B,Summary!$C18)</f>
        <v>299459</v>
      </c>
      <c r="S18" s="187">
        <f t="shared" ca="1" si="20"/>
        <v>3571596</v>
      </c>
    </row>
    <row r="19" spans="1:20" x14ac:dyDescent="0.25">
      <c r="A19" s="17">
        <f t="shared" si="19"/>
        <v>1</v>
      </c>
      <c r="D19" s="1" t="s">
        <v>3</v>
      </c>
      <c r="F19" s="24" t="s">
        <v>0</v>
      </c>
      <c r="G19" s="12">
        <f ca="1">G17/G18</f>
        <v>0.70086769009601069</v>
      </c>
      <c r="H19" s="184">
        <f t="shared" ref="H19:I19" ca="1" si="21">H17/H18</f>
        <v>0.59879173726275436</v>
      </c>
      <c r="I19" s="12">
        <f t="shared" ca="1" si="21"/>
        <v>0.86346288785062719</v>
      </c>
      <c r="J19" s="184">
        <f t="shared" ref="J19:R19" ca="1" si="22">J17/J18</f>
        <v>2.8566949064813545</v>
      </c>
      <c r="K19" s="12">
        <f t="shared" ca="1" si="22"/>
        <v>0.19492484780888203</v>
      </c>
      <c r="L19" s="184">
        <f t="shared" ca="1" si="22"/>
        <v>0.81676289575534544</v>
      </c>
      <c r="M19" s="12">
        <f t="shared" ca="1" si="22"/>
        <v>0.33787263030999237</v>
      </c>
      <c r="N19" s="184">
        <f t="shared" ca="1" si="22"/>
        <v>0.2655421944239445</v>
      </c>
      <c r="O19" s="12">
        <f t="shared" ca="1" si="22"/>
        <v>0.4406947194774577</v>
      </c>
      <c r="P19" s="184">
        <f t="shared" ca="1" si="22"/>
        <v>0.47757789881085555</v>
      </c>
      <c r="Q19" s="12">
        <f t="shared" ca="1" si="22"/>
        <v>0.29784377828016523</v>
      </c>
      <c r="R19" s="184">
        <f t="shared" ca="1" si="22"/>
        <v>0.51246414367242266</v>
      </c>
      <c r="S19" s="187">
        <f t="shared" ca="1" si="20"/>
        <v>8.3635003302298117</v>
      </c>
    </row>
    <row r="20" spans="1:20" s="5" customFormat="1" x14ac:dyDescent="0.25">
      <c r="A20" s="17">
        <f>IF(AND(D20&lt;&gt;"",C20=""),A19+1,A19)</f>
        <v>2</v>
      </c>
      <c r="D20" s="5" t="s">
        <v>3</v>
      </c>
      <c r="F20" s="23" t="str">
        <f>INDEX(PropertyList!$D:$D,MATCH(Summary!$A20,PropertyList!$C:$C,0))</f>
        <v>SHC of Terre Haute</v>
      </c>
      <c r="G20" s="11"/>
      <c r="H20" s="182"/>
      <c r="I20" s="11"/>
      <c r="J20" s="182"/>
      <c r="K20" s="11"/>
      <c r="L20" s="182"/>
      <c r="M20" s="11"/>
      <c r="N20" s="182"/>
      <c r="O20" s="11"/>
      <c r="P20" s="182"/>
      <c r="Q20" s="11"/>
      <c r="R20" s="182"/>
      <c r="S20" s="187">
        <f t="shared" si="20"/>
        <v>0</v>
      </c>
      <c r="T20" s="180"/>
    </row>
    <row r="21" spans="1:20" s="17" customFormat="1" x14ac:dyDescent="0.25">
      <c r="A21" s="17">
        <f>IF(AND(F21&lt;&gt;"",D21=""),A20+1,A20)</f>
        <v>2</v>
      </c>
      <c r="C21" t="str">
        <f>$F20</f>
        <v>SHC of Terre Haute</v>
      </c>
      <c r="D21" s="3" t="str">
        <f>$D10</f>
        <v>PAY_PAT_DAYS - Total Payor Patient Days</v>
      </c>
      <c r="F21" s="24" t="str">
        <f>_xll.EVDES(D21)</f>
        <v>Total Payor Patient Days</v>
      </c>
      <c r="G21" s="19">
        <f ca="1">SUMIFS(OFFSET('BPC Data'!$F:$F,0,Summary!G$2),'BPC Data'!$E:$E,Summary!$D21,'BPC Data'!$B:$B,Summary!$C21)</f>
        <v>4379</v>
      </c>
      <c r="H21" s="183">
        <f ca="1">SUMIFS(OFFSET('BPC Data'!$F:$F,0,Summary!H$2),'BPC Data'!$E:$E,Summary!$D21,'BPC Data'!$B:$B,Summary!$C21)</f>
        <v>4403</v>
      </c>
      <c r="I21" s="19">
        <f ca="1">SUMIFS(OFFSET('BPC Data'!$F:$F,0,Summary!I$2),'BPC Data'!$E:$E,Summary!$D21,'BPC Data'!$B:$B,Summary!$C21)</f>
        <v>3652</v>
      </c>
      <c r="J21" s="183">
        <f ca="1">SUMIFS(OFFSET('BPC Data'!$F:$F,0,Summary!J$2),'BPC Data'!$E:$E,Summary!$D21,'BPC Data'!$B:$B,Summary!$C21)</f>
        <v>3658</v>
      </c>
      <c r="K21" s="19">
        <f ca="1">SUMIFS(OFFSET('BPC Data'!$F:$F,0,Summary!K$2),'BPC Data'!$E:$E,Summary!$D21,'BPC Data'!$B:$B,Summary!$C21)</f>
        <v>3855</v>
      </c>
      <c r="L21" s="183">
        <f ca="1">SUMIFS(OFFSET('BPC Data'!$F:$F,0,Summary!L$2),'BPC Data'!$E:$E,Summary!$D21,'BPC Data'!$B:$B,Summary!$C21)</f>
        <v>3551</v>
      </c>
      <c r="M21" s="19">
        <f ca="1">SUMIFS(OFFSET('BPC Data'!$F:$F,0,Summary!M$2),'BPC Data'!$E:$E,Summary!$D21,'BPC Data'!$B:$B,Summary!$C21)</f>
        <v>3939</v>
      </c>
      <c r="N21" s="183">
        <f ca="1">SUMIFS(OFFSET('BPC Data'!$F:$F,0,Summary!N$2),'BPC Data'!$E:$E,Summary!$D21,'BPC Data'!$B:$B,Summary!$C21)</f>
        <v>4002</v>
      </c>
      <c r="O21" s="19">
        <f ca="1">SUMIFS(OFFSET('BPC Data'!$F:$F,0,Summary!O$2),'BPC Data'!$E:$E,Summary!$D21,'BPC Data'!$B:$B,Summary!$C21)</f>
        <v>4305</v>
      </c>
      <c r="P21" s="183">
        <f ca="1">SUMIFS(OFFSET('BPC Data'!$F:$F,0,Summary!P$2),'BPC Data'!$E:$E,Summary!$D21,'BPC Data'!$B:$B,Summary!$C21)</f>
        <v>4282</v>
      </c>
      <c r="Q21" s="19">
        <f ca="1">SUMIFS(OFFSET('BPC Data'!$F:$F,0,Summary!Q$2),'BPC Data'!$E:$E,Summary!$D21,'BPC Data'!$B:$B,Summary!$C21)</f>
        <v>4322</v>
      </c>
      <c r="R21" s="183">
        <f ca="1">SUMIFS(OFFSET('BPC Data'!$F:$F,0,Summary!R$2),'BPC Data'!$E:$E,Summary!$D21,'BPC Data'!$B:$B,Summary!$C21)</f>
        <v>4320</v>
      </c>
      <c r="S21" s="187">
        <f t="shared" ca="1" si="20"/>
        <v>48668</v>
      </c>
      <c r="T21" s="181"/>
    </row>
    <row r="22" spans="1:20" s="17" customFormat="1" x14ac:dyDescent="0.25">
      <c r="A22" s="17">
        <f t="shared" ref="A22:A30" si="23">IF(AND(F22&lt;&gt;"",D22=""),A21+1,A21)</f>
        <v>2</v>
      </c>
      <c r="C22" t="str">
        <f>$F20</f>
        <v>SHC of Terre Haute</v>
      </c>
      <c r="D22" s="3" t="str">
        <f t="shared" ref="D22:D85" si="24">$D11</f>
        <v>A_BEDS_TOTAL - Total Available Beds</v>
      </c>
      <c r="F22" s="24" t="str">
        <f>_xll.EVDES(D22)</f>
        <v>Total Available Beds</v>
      </c>
      <c r="G22" s="19">
        <f ca="1">SUMIFS(OFFSET('BPC Data'!$F:$F,0,Summary!G$2),'BPC Data'!$E:$E,Summary!$D22,'BPC Data'!$B:$B,Summary!$C22)</f>
        <v>176</v>
      </c>
      <c r="H22" s="183">
        <f ca="1">SUMIFS(OFFSET('BPC Data'!$F:$F,0,Summary!H$2),'BPC Data'!$E:$E,Summary!$D22,'BPC Data'!$B:$B,Summary!$C22)</f>
        <v>176</v>
      </c>
      <c r="I22" s="19">
        <f ca="1">SUMIFS(OFFSET('BPC Data'!$F:$F,0,Summary!I$2),'BPC Data'!$E:$E,Summary!$D22,'BPC Data'!$B:$B,Summary!$C22)</f>
        <v>176</v>
      </c>
      <c r="J22" s="183">
        <f ca="1">SUMIFS(OFFSET('BPC Data'!$F:$F,0,Summary!J$2),'BPC Data'!$E:$E,Summary!$D22,'BPC Data'!$B:$B,Summary!$C22)</f>
        <v>176</v>
      </c>
      <c r="K22" s="19">
        <f ca="1">SUMIFS(OFFSET('BPC Data'!$F:$F,0,Summary!K$2),'BPC Data'!$E:$E,Summary!$D22,'BPC Data'!$B:$B,Summary!$C22)</f>
        <v>176</v>
      </c>
      <c r="L22" s="183">
        <f ca="1">SUMIFS(OFFSET('BPC Data'!$F:$F,0,Summary!L$2),'BPC Data'!$E:$E,Summary!$D22,'BPC Data'!$B:$B,Summary!$C22)</f>
        <v>176</v>
      </c>
      <c r="M22" s="19">
        <f ca="1">SUMIFS(OFFSET('BPC Data'!$F:$F,0,Summary!M$2),'BPC Data'!$E:$E,Summary!$D22,'BPC Data'!$B:$B,Summary!$C22)</f>
        <v>176</v>
      </c>
      <c r="N22" s="183">
        <f ca="1">SUMIFS(OFFSET('BPC Data'!$F:$F,0,Summary!N$2),'BPC Data'!$E:$E,Summary!$D22,'BPC Data'!$B:$B,Summary!$C22)</f>
        <v>176</v>
      </c>
      <c r="O22" s="19">
        <f ca="1">SUMIFS(OFFSET('BPC Data'!$F:$F,0,Summary!O$2),'BPC Data'!$E:$E,Summary!$D22,'BPC Data'!$B:$B,Summary!$C22)</f>
        <v>176</v>
      </c>
      <c r="P22" s="183">
        <f ca="1">SUMIFS(OFFSET('BPC Data'!$F:$F,0,Summary!P$2),'BPC Data'!$E:$E,Summary!$D22,'BPC Data'!$B:$B,Summary!$C22)</f>
        <v>176</v>
      </c>
      <c r="Q22" s="19">
        <f ca="1">SUMIFS(OFFSET('BPC Data'!$F:$F,0,Summary!Q$2),'BPC Data'!$E:$E,Summary!$D22,'BPC Data'!$B:$B,Summary!$C22)</f>
        <v>176</v>
      </c>
      <c r="R22" s="183">
        <f ca="1">SUMIFS(OFFSET('BPC Data'!$F:$F,0,Summary!R$2),'BPC Data'!$E:$E,Summary!$D22,'BPC Data'!$B:$B,Summary!$C22)</f>
        <v>176</v>
      </c>
      <c r="S22" s="187">
        <f ca="1">R22</f>
        <v>176</v>
      </c>
      <c r="T22" s="181"/>
    </row>
    <row r="23" spans="1:20" s="17" customFormat="1" x14ac:dyDescent="0.25">
      <c r="A23" s="17">
        <f t="shared" si="23"/>
        <v>2</v>
      </c>
      <c r="B23"/>
      <c r="C23" t="str">
        <f>$F20</f>
        <v>SHC of Terre Haute</v>
      </c>
      <c r="D23" s="3" t="str">
        <f t="shared" si="24"/>
        <v>T_REVENUES - Total Tenant Revenues</v>
      </c>
      <c r="E23"/>
      <c r="F23" s="24" t="str">
        <f>_xll.EVDES(D23)</f>
        <v>Total Tenant Revenues</v>
      </c>
      <c r="G23" s="19">
        <f ca="1">SUMIFS(OFFSET('BPC Data'!$F:$F,0,Summary!G$2),'BPC Data'!$E:$E,Summary!$D23,'BPC Data'!$B:$B,Summary!$C23)</f>
        <v>1628619</v>
      </c>
      <c r="H23" s="183">
        <f ca="1">SUMIFS(OFFSET('BPC Data'!$F:$F,0,Summary!H$2),'BPC Data'!$E:$E,Summary!$D23,'BPC Data'!$B:$B,Summary!$C23)</f>
        <v>1921757</v>
      </c>
      <c r="I23" s="19">
        <f ca="1">SUMIFS(OFFSET('BPC Data'!$F:$F,0,Summary!I$2),'BPC Data'!$E:$E,Summary!$D23,'BPC Data'!$B:$B,Summary!$C23)</f>
        <v>1849474</v>
      </c>
      <c r="J23" s="183">
        <f ca="1">SUMIFS(OFFSET('BPC Data'!$F:$F,0,Summary!J$2),'BPC Data'!$E:$E,Summary!$D23,'BPC Data'!$B:$B,Summary!$C23)</f>
        <v>940319</v>
      </c>
      <c r="K23" s="19">
        <f ca="1">SUMIFS(OFFSET('BPC Data'!$F:$F,0,Summary!K$2),'BPC Data'!$E:$E,Summary!$D23,'BPC Data'!$B:$B,Summary!$C23)</f>
        <v>1654301</v>
      </c>
      <c r="L23" s="183">
        <f ca="1">SUMIFS(OFFSET('BPC Data'!$F:$F,0,Summary!L$2),'BPC Data'!$E:$E,Summary!$D23,'BPC Data'!$B:$B,Summary!$C23)</f>
        <v>1646635</v>
      </c>
      <c r="M23" s="19">
        <f ca="1">SUMIFS(OFFSET('BPC Data'!$F:$F,0,Summary!M$2),'BPC Data'!$E:$E,Summary!$D23,'BPC Data'!$B:$B,Summary!$C23)</f>
        <v>1589568</v>
      </c>
      <c r="N23" s="183">
        <f ca="1">SUMIFS(OFFSET('BPC Data'!$F:$F,0,Summary!N$2),'BPC Data'!$E:$E,Summary!$D23,'BPC Data'!$B:$B,Summary!$C23)</f>
        <v>1363777</v>
      </c>
      <c r="O23" s="19">
        <f ca="1">SUMIFS(OFFSET('BPC Data'!$F:$F,0,Summary!O$2),'BPC Data'!$E:$E,Summary!$D23,'BPC Data'!$B:$B,Summary!$C23)</f>
        <v>1400528</v>
      </c>
      <c r="P23" s="183">
        <f ca="1">SUMIFS(OFFSET('BPC Data'!$F:$F,0,Summary!P$2),'BPC Data'!$E:$E,Summary!$D23,'BPC Data'!$B:$B,Summary!$C23)</f>
        <v>1314784</v>
      </c>
      <c r="Q23" s="19">
        <f ca="1">SUMIFS(OFFSET('BPC Data'!$F:$F,0,Summary!Q$2),'BPC Data'!$E:$E,Summary!$D23,'BPC Data'!$B:$B,Summary!$C23)</f>
        <v>1346287</v>
      </c>
      <c r="R23" s="183">
        <f ca="1">SUMIFS(OFFSET('BPC Data'!$F:$F,0,Summary!R$2),'BPC Data'!$E:$E,Summary!$D23,'BPC Data'!$B:$B,Summary!$C23)</f>
        <v>1508097</v>
      </c>
      <c r="S23" s="187">
        <f t="shared" ca="1" si="20"/>
        <v>18164146</v>
      </c>
      <c r="T23" s="181"/>
    </row>
    <row r="24" spans="1:20" s="17" customFormat="1" x14ac:dyDescent="0.25">
      <c r="A24" s="17">
        <f t="shared" si="23"/>
        <v>2</v>
      </c>
      <c r="B24"/>
      <c r="C24" t="str">
        <f>$F20</f>
        <v>SHC of Terre Haute</v>
      </c>
      <c r="D24" s="3" t="str">
        <f t="shared" si="24"/>
        <v>T_OPEX - Tenant Operating Expenses</v>
      </c>
      <c r="E24"/>
      <c r="F24" s="24" t="str">
        <f>_xll.EVDES(D24)</f>
        <v>Tenant Operating Expenses</v>
      </c>
      <c r="G24" s="19">
        <f ca="1">SUMIFS(OFFSET('BPC Data'!$F:$F,0,Summary!G$2),'BPC Data'!$E:$E,Summary!$D24,'BPC Data'!$B:$B,Summary!$C24)</f>
        <v>1095069</v>
      </c>
      <c r="H24" s="183">
        <f ca="1">SUMIFS(OFFSET('BPC Data'!$F:$F,0,Summary!H$2),'BPC Data'!$E:$E,Summary!$D24,'BPC Data'!$B:$B,Summary!$C24)</f>
        <v>1249627</v>
      </c>
      <c r="I24" s="19">
        <f ca="1">SUMIFS(OFFSET('BPC Data'!$F:$F,0,Summary!I$2),'BPC Data'!$E:$E,Summary!$D24,'BPC Data'!$B:$B,Summary!$C24)</f>
        <v>1284727</v>
      </c>
      <c r="J24" s="183">
        <f ca="1">SUMIFS(OFFSET('BPC Data'!$F:$F,0,Summary!J$2),'BPC Data'!$E:$E,Summary!$D24,'BPC Data'!$B:$B,Summary!$C24)</f>
        <v>1051741</v>
      </c>
      <c r="K24" s="19">
        <f ca="1">SUMIFS(OFFSET('BPC Data'!$F:$F,0,Summary!K$2),'BPC Data'!$E:$E,Summary!$D24,'BPC Data'!$B:$B,Summary!$C24)</f>
        <v>1130712</v>
      </c>
      <c r="L24" s="183">
        <f ca="1">SUMIFS(OFFSET('BPC Data'!$F:$F,0,Summary!L$2),'BPC Data'!$E:$E,Summary!$D24,'BPC Data'!$B:$B,Summary!$C24)</f>
        <v>1140966</v>
      </c>
      <c r="M24" s="19">
        <f ca="1">SUMIFS(OFFSET('BPC Data'!$F:$F,0,Summary!M$2),'BPC Data'!$E:$E,Summary!$D24,'BPC Data'!$B:$B,Summary!$C24)</f>
        <v>1131538</v>
      </c>
      <c r="N24" s="183">
        <f ca="1">SUMIFS(OFFSET('BPC Data'!$F:$F,0,Summary!N$2),'BPC Data'!$E:$E,Summary!$D24,'BPC Data'!$B:$B,Summary!$C24)</f>
        <v>1122166</v>
      </c>
      <c r="O24" s="19">
        <f ca="1">SUMIFS(OFFSET('BPC Data'!$F:$F,0,Summary!O$2),'BPC Data'!$E:$E,Summary!$D24,'BPC Data'!$B:$B,Summary!$C24)</f>
        <v>1212596</v>
      </c>
      <c r="P24" s="183">
        <f ca="1">SUMIFS(OFFSET('BPC Data'!$F:$F,0,Summary!P$2),'BPC Data'!$E:$E,Summary!$D24,'BPC Data'!$B:$B,Summary!$C24)</f>
        <v>1200139</v>
      </c>
      <c r="Q24" s="19">
        <f ca="1">SUMIFS(OFFSET('BPC Data'!$F:$F,0,Summary!Q$2),'BPC Data'!$E:$E,Summary!$D24,'BPC Data'!$B:$B,Summary!$C24)</f>
        <v>1271381</v>
      </c>
      <c r="R24" s="183">
        <f ca="1">SUMIFS(OFFSET('BPC Data'!$F:$F,0,Summary!R$2),'BPC Data'!$E:$E,Summary!$D24,'BPC Data'!$B:$B,Summary!$C24)</f>
        <v>1171979</v>
      </c>
      <c r="S24" s="187">
        <f t="shared" ca="1" si="20"/>
        <v>14062641</v>
      </c>
      <c r="T24" s="181"/>
    </row>
    <row r="25" spans="1:20" s="17" customFormat="1" x14ac:dyDescent="0.25">
      <c r="A25" s="17">
        <f t="shared" si="23"/>
        <v>2</v>
      </c>
      <c r="B25"/>
      <c r="C25" t="str">
        <f>$F20</f>
        <v>SHC of Terre Haute</v>
      </c>
      <c r="D25" s="3" t="str">
        <f t="shared" si="24"/>
        <v>T_BAD_DEBT - Tenant Bad Debt Expense</v>
      </c>
      <c r="E25"/>
      <c r="F25" s="24" t="str">
        <f>_xll.EVDES(D25)</f>
        <v>Tenant Bad Debt Expense</v>
      </c>
      <c r="G25" s="19">
        <f ca="1">SUMIFS(OFFSET('BPC Data'!$F:$F,0,Summary!G$2),'BPC Data'!$E:$E,Summary!$D25,'BPC Data'!$B:$B,Summary!$C25)</f>
        <v>22809</v>
      </c>
      <c r="H25" s="183">
        <f ca="1">SUMIFS(OFFSET('BPC Data'!$F:$F,0,Summary!H$2),'BPC Data'!$E:$E,Summary!$D25,'BPC Data'!$B:$B,Summary!$C25)</f>
        <v>19403</v>
      </c>
      <c r="I25" s="19">
        <f ca="1">SUMIFS(OFFSET('BPC Data'!$F:$F,0,Summary!I$2),'BPC Data'!$E:$E,Summary!$D25,'BPC Data'!$B:$B,Summary!$C25)</f>
        <v>7000</v>
      </c>
      <c r="J25" s="183">
        <f ca="1">SUMIFS(OFFSET('BPC Data'!$F:$F,0,Summary!J$2),'BPC Data'!$E:$E,Summary!$D25,'BPC Data'!$B:$B,Summary!$C25)</f>
        <v>22361</v>
      </c>
      <c r="K25" s="19">
        <f ca="1">SUMIFS(OFFSET('BPC Data'!$F:$F,0,Summary!K$2),'BPC Data'!$E:$E,Summary!$D25,'BPC Data'!$B:$B,Summary!$C25)</f>
        <v>20858</v>
      </c>
      <c r="L25" s="183">
        <f ca="1">SUMIFS(OFFSET('BPC Data'!$F:$F,0,Summary!L$2),'BPC Data'!$E:$E,Summary!$D25,'BPC Data'!$B:$B,Summary!$C25)</f>
        <v>17000</v>
      </c>
      <c r="M25" s="19">
        <f ca="1">SUMIFS(OFFSET('BPC Data'!$F:$F,0,Summary!M$2),'BPC Data'!$E:$E,Summary!$D25,'BPC Data'!$B:$B,Summary!$C25)</f>
        <v>0</v>
      </c>
      <c r="N25" s="183">
        <f ca="1">SUMIFS(OFFSET('BPC Data'!$F:$F,0,Summary!N$2),'BPC Data'!$E:$E,Summary!$D25,'BPC Data'!$B:$B,Summary!$C25)</f>
        <v>5000</v>
      </c>
      <c r="O25" s="19">
        <f ca="1">SUMIFS(OFFSET('BPC Data'!$F:$F,0,Summary!O$2),'BPC Data'!$E:$E,Summary!$D25,'BPC Data'!$B:$B,Summary!$C25)</f>
        <v>0</v>
      </c>
      <c r="P25" s="183">
        <f ca="1">SUMIFS(OFFSET('BPC Data'!$F:$F,0,Summary!P$2),'BPC Data'!$E:$E,Summary!$D25,'BPC Data'!$B:$B,Summary!$C25)</f>
        <v>20000</v>
      </c>
      <c r="Q25" s="19">
        <f ca="1">SUMIFS(OFFSET('BPC Data'!$F:$F,0,Summary!Q$2),'BPC Data'!$E:$E,Summary!$D25,'BPC Data'!$B:$B,Summary!$C25)</f>
        <v>30000</v>
      </c>
      <c r="R25" s="183">
        <f ca="1">SUMIFS(OFFSET('BPC Data'!$F:$F,0,Summary!R$2),'BPC Data'!$E:$E,Summary!$D25,'BPC Data'!$B:$B,Summary!$C25)</f>
        <v>15000</v>
      </c>
      <c r="S25" s="187">
        <f t="shared" ca="1" si="20"/>
        <v>179431</v>
      </c>
      <c r="T25" s="181"/>
    </row>
    <row r="26" spans="1:20" s="17" customFormat="1" x14ac:dyDescent="0.25">
      <c r="A26" s="17">
        <f t="shared" si="23"/>
        <v>2</v>
      </c>
      <c r="B26"/>
      <c r="C26" t="str">
        <f>$F20</f>
        <v>SHC of Terre Haute</v>
      </c>
      <c r="D26" s="2" t="str">
        <f t="shared" si="24"/>
        <v>T_EBITDARM - EBITDARM</v>
      </c>
      <c r="E26"/>
      <c r="F26" s="24" t="str">
        <f>_xll.EVDES(D26)</f>
        <v>EBITDARM</v>
      </c>
      <c r="G26" s="19">
        <f ca="1">SUMIFS(OFFSET('BPC Data'!$F:$F,0,Summary!G$2),'BPC Data'!$E:$E,Summary!$D26,'BPC Data'!$B:$B,Summary!$C26)</f>
        <v>533550</v>
      </c>
      <c r="H26" s="183">
        <f ca="1">SUMIFS(OFFSET('BPC Data'!$F:$F,0,Summary!H$2),'BPC Data'!$E:$E,Summary!$D26,'BPC Data'!$B:$B,Summary!$C26)</f>
        <v>672130</v>
      </c>
      <c r="I26" s="19">
        <f ca="1">SUMIFS(OFFSET('BPC Data'!$F:$F,0,Summary!I$2),'BPC Data'!$E:$E,Summary!$D26,'BPC Data'!$B:$B,Summary!$C26)</f>
        <v>564747</v>
      </c>
      <c r="J26" s="183">
        <f ca="1">SUMIFS(OFFSET('BPC Data'!$F:$F,0,Summary!J$2),'BPC Data'!$E:$E,Summary!$D26,'BPC Data'!$B:$B,Summary!$C26)</f>
        <v>-111422</v>
      </c>
      <c r="K26" s="19">
        <f ca="1">SUMIFS(OFFSET('BPC Data'!$F:$F,0,Summary!K$2),'BPC Data'!$E:$E,Summary!$D26,'BPC Data'!$B:$B,Summary!$C26)</f>
        <v>523589</v>
      </c>
      <c r="L26" s="183">
        <f ca="1">SUMIFS(OFFSET('BPC Data'!$F:$F,0,Summary!L$2),'BPC Data'!$E:$E,Summary!$D26,'BPC Data'!$B:$B,Summary!$C26)</f>
        <v>505669</v>
      </c>
      <c r="M26" s="19">
        <f ca="1">SUMIFS(OFFSET('BPC Data'!$F:$F,0,Summary!M$2),'BPC Data'!$E:$E,Summary!$D26,'BPC Data'!$B:$B,Summary!$C26)</f>
        <v>458030</v>
      </c>
      <c r="N26" s="183">
        <f ca="1">SUMIFS(OFFSET('BPC Data'!$F:$F,0,Summary!N$2),'BPC Data'!$E:$E,Summary!$D26,'BPC Data'!$B:$B,Summary!$C26)</f>
        <v>241611</v>
      </c>
      <c r="O26" s="19">
        <f ca="1">SUMIFS(OFFSET('BPC Data'!$F:$F,0,Summary!O$2),'BPC Data'!$E:$E,Summary!$D26,'BPC Data'!$B:$B,Summary!$C26)</f>
        <v>187932</v>
      </c>
      <c r="P26" s="183">
        <f ca="1">SUMIFS(OFFSET('BPC Data'!$F:$F,0,Summary!P$2),'BPC Data'!$E:$E,Summary!$D26,'BPC Data'!$B:$B,Summary!$C26)</f>
        <v>114645</v>
      </c>
      <c r="Q26" s="19">
        <f ca="1">SUMIFS(OFFSET('BPC Data'!$F:$F,0,Summary!Q$2),'BPC Data'!$E:$E,Summary!$D26,'BPC Data'!$B:$B,Summary!$C26)</f>
        <v>74906</v>
      </c>
      <c r="R26" s="183">
        <f ca="1">SUMIFS(OFFSET('BPC Data'!$F:$F,0,Summary!R$2),'BPC Data'!$E:$E,Summary!$D26,'BPC Data'!$B:$B,Summary!$C26)</f>
        <v>336118</v>
      </c>
      <c r="S26" s="187">
        <f t="shared" ca="1" si="20"/>
        <v>4101505</v>
      </c>
      <c r="T26" s="181"/>
    </row>
    <row r="27" spans="1:20" s="17" customFormat="1" x14ac:dyDescent="0.25">
      <c r="A27" s="17">
        <f t="shared" si="23"/>
        <v>2</v>
      </c>
      <c r="B27"/>
      <c r="C27" t="str">
        <f>$F20</f>
        <v>SHC of Terre Haute</v>
      </c>
      <c r="D27" s="2" t="str">
        <f t="shared" si="24"/>
        <v>T_MGMT_FEE - Tenant Management Fee - Actual</v>
      </c>
      <c r="E27"/>
      <c r="F27" s="24" t="str">
        <f>_xll.EVDES(D27)</f>
        <v>Tenant Management Fee - Actual</v>
      </c>
      <c r="G27" s="19">
        <f ca="1">SUMIFS(OFFSET('BPC Data'!$F:$F,0,Summary!G$2),'BPC Data'!$E:$E,Summary!$D27,'BPC Data'!$B:$B,Summary!$C27)</f>
        <v>81695</v>
      </c>
      <c r="H27" s="183">
        <f ca="1">SUMIFS(OFFSET('BPC Data'!$F:$F,0,Summary!H$2),'BPC Data'!$E:$E,Summary!$D27,'BPC Data'!$B:$B,Summary!$C27)</f>
        <v>97049</v>
      </c>
      <c r="I27" s="19">
        <f ca="1">SUMIFS(OFFSET('BPC Data'!$F:$F,0,Summary!I$2),'BPC Data'!$E:$E,Summary!$D27,'BPC Data'!$B:$B,Summary!$C27)</f>
        <v>93398</v>
      </c>
      <c r="J27" s="183">
        <f ca="1">SUMIFS(OFFSET('BPC Data'!$F:$F,0,Summary!J$2),'BPC Data'!$E:$E,Summary!$D27,'BPC Data'!$B:$B,Summary!$C27)</f>
        <v>47486</v>
      </c>
      <c r="K27" s="19">
        <f ca="1">SUMIFS(OFFSET('BPC Data'!$F:$F,0,Summary!K$2),'BPC Data'!$E:$E,Summary!$D27,'BPC Data'!$B:$B,Summary!$C27)</f>
        <v>83542</v>
      </c>
      <c r="L27" s="183">
        <f ca="1">SUMIFS(OFFSET('BPC Data'!$F:$F,0,Summary!L$2),'BPC Data'!$E:$E,Summary!$D27,'BPC Data'!$B:$B,Summary!$C27)</f>
        <v>83155</v>
      </c>
      <c r="M27" s="19">
        <f ca="1">SUMIFS(OFFSET('BPC Data'!$F:$F,0,Summary!M$2),'BPC Data'!$E:$E,Summary!$D27,'BPC Data'!$B:$B,Summary!$C27)</f>
        <v>80273</v>
      </c>
      <c r="N27" s="183">
        <f ca="1">SUMIFS(OFFSET('BPC Data'!$F:$F,0,Summary!N$2),'BPC Data'!$E:$E,Summary!$D27,'BPC Data'!$B:$B,Summary!$C27)</f>
        <v>68871</v>
      </c>
      <c r="O27" s="19">
        <f ca="1">SUMIFS(OFFSET('BPC Data'!$F:$F,0,Summary!O$2),'BPC Data'!$E:$E,Summary!$D27,'BPC Data'!$B:$B,Summary!$C27)</f>
        <v>70727</v>
      </c>
      <c r="P27" s="183">
        <f ca="1">SUMIFS(OFFSET('BPC Data'!$F:$F,0,Summary!P$2),'BPC Data'!$E:$E,Summary!$D27,'BPC Data'!$B:$B,Summary!$C27)</f>
        <v>66397</v>
      </c>
      <c r="Q27" s="19">
        <f ca="1">SUMIFS(OFFSET('BPC Data'!$F:$F,0,Summary!Q$2),'BPC Data'!$E:$E,Summary!$D27,'BPC Data'!$B:$B,Summary!$C27)</f>
        <v>67988</v>
      </c>
      <c r="R27" s="183">
        <f ca="1">SUMIFS(OFFSET('BPC Data'!$F:$F,0,Summary!R$2),'BPC Data'!$E:$E,Summary!$D27,'BPC Data'!$B:$B,Summary!$C27)</f>
        <v>76159</v>
      </c>
      <c r="S27" s="187">
        <f t="shared" ca="1" si="20"/>
        <v>916740</v>
      </c>
      <c r="T27" s="181"/>
    </row>
    <row r="28" spans="1:20" s="17" customFormat="1" x14ac:dyDescent="0.25">
      <c r="A28" s="17">
        <f t="shared" si="23"/>
        <v>2</v>
      </c>
      <c r="B28"/>
      <c r="C28" t="str">
        <f>$F20</f>
        <v>SHC of Terre Haute</v>
      </c>
      <c r="D28" s="1" t="str">
        <f t="shared" si="24"/>
        <v>T_EBITDAR - EBITDAR</v>
      </c>
      <c r="E28"/>
      <c r="F28" s="24" t="str">
        <f>_xll.EVDES(D28)</f>
        <v>EBITDAR</v>
      </c>
      <c r="G28" s="19">
        <f ca="1">SUMIFS(OFFSET('BPC Data'!$F:$F,0,Summary!G$2),'BPC Data'!$E:$E,Summary!$D28,'BPC Data'!$B:$B,Summary!$C28)</f>
        <v>451855</v>
      </c>
      <c r="H28" s="183">
        <f ca="1">SUMIFS(OFFSET('BPC Data'!$F:$F,0,Summary!H$2),'BPC Data'!$E:$E,Summary!$D28,'BPC Data'!$B:$B,Summary!$C28)</f>
        <v>575081</v>
      </c>
      <c r="I28" s="19">
        <f ca="1">SUMIFS(OFFSET('BPC Data'!$F:$F,0,Summary!I$2),'BPC Data'!$E:$E,Summary!$D28,'BPC Data'!$B:$B,Summary!$C28)</f>
        <v>471349</v>
      </c>
      <c r="J28" s="183">
        <f ca="1">SUMIFS(OFFSET('BPC Data'!$F:$F,0,Summary!J$2),'BPC Data'!$E:$E,Summary!$D28,'BPC Data'!$B:$B,Summary!$C28)</f>
        <v>-158908</v>
      </c>
      <c r="K28" s="19">
        <f ca="1">SUMIFS(OFFSET('BPC Data'!$F:$F,0,Summary!K$2),'BPC Data'!$E:$E,Summary!$D28,'BPC Data'!$B:$B,Summary!$C28)</f>
        <v>440047</v>
      </c>
      <c r="L28" s="183">
        <f ca="1">SUMIFS(OFFSET('BPC Data'!$F:$F,0,Summary!L$2),'BPC Data'!$E:$E,Summary!$D28,'BPC Data'!$B:$B,Summary!$C28)</f>
        <v>422514</v>
      </c>
      <c r="M28" s="19">
        <f ca="1">SUMIFS(OFFSET('BPC Data'!$F:$F,0,Summary!M$2),'BPC Data'!$E:$E,Summary!$D28,'BPC Data'!$B:$B,Summary!$C28)</f>
        <v>377757</v>
      </c>
      <c r="N28" s="183">
        <f ca="1">SUMIFS(OFFSET('BPC Data'!$F:$F,0,Summary!N$2),'BPC Data'!$E:$E,Summary!$D28,'BPC Data'!$B:$B,Summary!$C28)</f>
        <v>172740</v>
      </c>
      <c r="O28" s="19">
        <f ca="1">SUMIFS(OFFSET('BPC Data'!$F:$F,0,Summary!O$2),'BPC Data'!$E:$E,Summary!$D28,'BPC Data'!$B:$B,Summary!$C28)</f>
        <v>117205</v>
      </c>
      <c r="P28" s="183">
        <f ca="1">SUMIFS(OFFSET('BPC Data'!$F:$F,0,Summary!P$2),'BPC Data'!$E:$E,Summary!$D28,'BPC Data'!$B:$B,Summary!$C28)</f>
        <v>48248</v>
      </c>
      <c r="Q28" s="19">
        <f ca="1">SUMIFS(OFFSET('BPC Data'!$F:$F,0,Summary!Q$2),'BPC Data'!$E:$E,Summary!$D28,'BPC Data'!$B:$B,Summary!$C28)</f>
        <v>6918</v>
      </c>
      <c r="R28" s="183">
        <f ca="1">SUMIFS(OFFSET('BPC Data'!$F:$F,0,Summary!R$2),'BPC Data'!$E:$E,Summary!$D28,'BPC Data'!$B:$B,Summary!$C28)</f>
        <v>259959</v>
      </c>
      <c r="S28" s="187">
        <f t="shared" ca="1" si="20"/>
        <v>3184765</v>
      </c>
      <c r="T28" s="181"/>
    </row>
    <row r="29" spans="1:20" s="17" customFormat="1" x14ac:dyDescent="0.25">
      <c r="A29" s="17">
        <f t="shared" si="23"/>
        <v>2</v>
      </c>
      <c r="B29"/>
      <c r="C29" t="str">
        <f>$F20</f>
        <v>SHC of Terre Haute</v>
      </c>
      <c r="D29" s="1" t="str">
        <f t="shared" si="24"/>
        <v>T_RENT_EXP - Tenant Rent Expense</v>
      </c>
      <c r="E29"/>
      <c r="F29" s="24" t="str">
        <f>_xll.EVDES(D29)</f>
        <v>Tenant Rent Expense</v>
      </c>
      <c r="G29" s="19">
        <f ca="1">SUMIFS(OFFSET('BPC Data'!$F:$F,0,Summary!G$2),'BPC Data'!$E:$E,Summary!$D29,'BPC Data'!$B:$B,Summary!$C29)</f>
        <v>465019</v>
      </c>
      <c r="H29" s="183">
        <f ca="1">SUMIFS(OFFSET('BPC Data'!$F:$F,0,Summary!H$2),'BPC Data'!$E:$E,Summary!$D29,'BPC Data'!$B:$B,Summary!$C29)</f>
        <v>465019</v>
      </c>
      <c r="I29" s="19">
        <f ca="1">SUMIFS(OFFSET('BPC Data'!$F:$F,0,Summary!I$2),'BPC Data'!$E:$E,Summary!$D29,'BPC Data'!$B:$B,Summary!$C29)</f>
        <v>465019</v>
      </c>
      <c r="J29" s="183">
        <f ca="1">SUMIFS(OFFSET('BPC Data'!$F:$F,0,Summary!J$2),'BPC Data'!$E:$E,Summary!$D29,'BPC Data'!$B:$B,Summary!$C29)</f>
        <v>476644</v>
      </c>
      <c r="K29" s="19">
        <f ca="1">SUMIFS(OFFSET('BPC Data'!$F:$F,0,Summary!K$2),'BPC Data'!$E:$E,Summary!$D29,'BPC Data'!$B:$B,Summary!$C29)</f>
        <v>476644</v>
      </c>
      <c r="L29" s="183">
        <f ca="1">SUMIFS(OFFSET('BPC Data'!$F:$F,0,Summary!L$2),'BPC Data'!$E:$E,Summary!$D29,'BPC Data'!$B:$B,Summary!$C29)</f>
        <v>476644</v>
      </c>
      <c r="M29" s="19">
        <f ca="1">SUMIFS(OFFSET('BPC Data'!$F:$F,0,Summary!M$2),'BPC Data'!$E:$E,Summary!$D29,'BPC Data'!$B:$B,Summary!$C29)</f>
        <v>476644</v>
      </c>
      <c r="N29" s="183">
        <f ca="1">SUMIFS(OFFSET('BPC Data'!$F:$F,0,Summary!N$2),'BPC Data'!$E:$E,Summary!$D29,'BPC Data'!$B:$B,Summary!$C29)</f>
        <v>476644</v>
      </c>
      <c r="O29" s="19">
        <f ca="1">SUMIFS(OFFSET('BPC Data'!$F:$F,0,Summary!O$2),'BPC Data'!$E:$E,Summary!$D29,'BPC Data'!$B:$B,Summary!$C29)</f>
        <v>476644</v>
      </c>
      <c r="P29" s="183">
        <f ca="1">SUMIFS(OFFSET('BPC Data'!$F:$F,0,Summary!P$2),'BPC Data'!$E:$E,Summary!$D29,'BPC Data'!$B:$B,Summary!$C29)</f>
        <v>476644</v>
      </c>
      <c r="Q29" s="19">
        <f ca="1">SUMIFS(OFFSET('BPC Data'!$F:$F,0,Summary!Q$2),'BPC Data'!$E:$E,Summary!$D29,'BPC Data'!$B:$B,Summary!$C29)</f>
        <v>476644</v>
      </c>
      <c r="R29" s="183">
        <f ca="1">SUMIFS(OFFSET('BPC Data'!$F:$F,0,Summary!R$2),'BPC Data'!$E:$E,Summary!$D29,'BPC Data'!$B:$B,Summary!$C29)</f>
        <v>476644</v>
      </c>
      <c r="S29" s="187">
        <f t="shared" ca="1" si="20"/>
        <v>5684853</v>
      </c>
      <c r="T29" s="181"/>
    </row>
    <row r="30" spans="1:20" s="17" customFormat="1" x14ac:dyDescent="0.25">
      <c r="A30" s="17">
        <f t="shared" si="23"/>
        <v>2</v>
      </c>
      <c r="B30"/>
      <c r="C30"/>
      <c r="D30" s="1" t="str">
        <f t="shared" si="24"/>
        <v>x</v>
      </c>
      <c r="E30"/>
      <c r="F30" s="24" t="s">
        <v>0</v>
      </c>
      <c r="G30" s="12">
        <f ca="1">G28/G29</f>
        <v>0.9716914792728899</v>
      </c>
      <c r="H30" s="184">
        <f t="shared" ref="H30:I30" ca="1" si="25">H28/H29</f>
        <v>1.2366828022080818</v>
      </c>
      <c r="I30" s="12">
        <f t="shared" ca="1" si="25"/>
        <v>1.0136123470223797</v>
      </c>
      <c r="J30" s="184">
        <f t="shared" ref="J30:R30" ca="1" si="26">J28/J29</f>
        <v>-0.33338928004968066</v>
      </c>
      <c r="K30" s="12">
        <f t="shared" ca="1" si="26"/>
        <v>0.92321942581885008</v>
      </c>
      <c r="L30" s="184">
        <f t="shared" ca="1" si="26"/>
        <v>0.88643515915442128</v>
      </c>
      <c r="M30" s="12">
        <f t="shared" ca="1" si="26"/>
        <v>0.79253488977098208</v>
      </c>
      <c r="N30" s="184">
        <f t="shared" ca="1" si="26"/>
        <v>0.36240884181905153</v>
      </c>
      <c r="O30" s="12">
        <f t="shared" ca="1" si="26"/>
        <v>0.24589630835592183</v>
      </c>
      <c r="P30" s="184">
        <f t="shared" ca="1" si="26"/>
        <v>0.10122439388726177</v>
      </c>
      <c r="Q30" s="12">
        <f t="shared" ca="1" si="26"/>
        <v>1.4513976888411478E-2</v>
      </c>
      <c r="R30" s="184">
        <f t="shared" ca="1" si="26"/>
        <v>0.5453944663102861</v>
      </c>
      <c r="S30" s="187">
        <f t="shared" ca="1" si="20"/>
        <v>6.7602248104588565</v>
      </c>
      <c r="T30" s="181"/>
    </row>
    <row r="31" spans="1:20" s="17" customFormat="1" x14ac:dyDescent="0.25">
      <c r="A31" s="17">
        <f>IF(AND(D31&lt;&gt;"",C31=""),A30+1,A30)</f>
        <v>3</v>
      </c>
      <c r="B31" s="5"/>
      <c r="C31" s="5"/>
      <c r="D31" s="5" t="str">
        <f t="shared" si="24"/>
        <v>x</v>
      </c>
      <c r="E31" s="5"/>
      <c r="F31" s="23" t="str">
        <f>INDEX(PropertyList!$D:$D,MATCH(Summary!$A31,PropertyList!$C:$C,0))</f>
        <v>SHC at Larkin Springs</v>
      </c>
      <c r="G31" s="11"/>
      <c r="H31" s="182"/>
      <c r="I31" s="11"/>
      <c r="J31" s="182"/>
      <c r="K31" s="11"/>
      <c r="L31" s="182"/>
      <c r="M31" s="11"/>
      <c r="N31" s="182"/>
      <c r="O31" s="11"/>
      <c r="P31" s="182"/>
      <c r="Q31" s="11"/>
      <c r="R31" s="182"/>
      <c r="S31" s="187">
        <f t="shared" si="20"/>
        <v>0</v>
      </c>
      <c r="T31" s="181"/>
    </row>
    <row r="32" spans="1:20" s="17" customFormat="1" x14ac:dyDescent="0.25">
      <c r="A32" s="17">
        <f>IF(AND(F32&lt;&gt;"",D32=""),A31+1,A31)</f>
        <v>3</v>
      </c>
      <c r="C32" t="str">
        <f>$F31</f>
        <v>SHC at Larkin Springs</v>
      </c>
      <c r="D32" s="3" t="str">
        <f t="shared" si="24"/>
        <v>PAY_PAT_DAYS - Total Payor Patient Days</v>
      </c>
      <c r="F32" s="24" t="str">
        <f>_xll.EVDES(D32)</f>
        <v>Total Payor Patient Days</v>
      </c>
      <c r="G32" s="19">
        <f ca="1">SUMIFS(OFFSET('BPC Data'!$F:$F,0,Summary!G$2),'BPC Data'!$E:$E,Summary!$D32,'BPC Data'!$B:$B,Summary!$C32)</f>
        <v>1440</v>
      </c>
      <c r="H32" s="183">
        <f ca="1">SUMIFS(OFFSET('BPC Data'!$F:$F,0,Summary!H$2),'BPC Data'!$E:$E,Summary!$D32,'BPC Data'!$B:$B,Summary!$C32)</f>
        <v>1702</v>
      </c>
      <c r="I32" s="19">
        <f ca="1">SUMIFS(OFFSET('BPC Data'!$F:$F,0,Summary!I$2),'BPC Data'!$E:$E,Summary!$D32,'BPC Data'!$B:$B,Summary!$C32)</f>
        <v>2074</v>
      </c>
      <c r="J32" s="183">
        <f ca="1">SUMIFS(OFFSET('BPC Data'!$F:$F,0,Summary!J$2),'BPC Data'!$E:$E,Summary!$D32,'BPC Data'!$B:$B,Summary!$C32)</f>
        <v>2093</v>
      </c>
      <c r="K32" s="19">
        <f ca="1">SUMIFS(OFFSET('BPC Data'!$F:$F,0,Summary!K$2),'BPC Data'!$E:$E,Summary!$D32,'BPC Data'!$B:$B,Summary!$C32)</f>
        <v>2282</v>
      </c>
      <c r="L32" s="183">
        <f ca="1">SUMIFS(OFFSET('BPC Data'!$F:$F,0,Summary!L$2),'BPC Data'!$E:$E,Summary!$D32,'BPC Data'!$B:$B,Summary!$C32)</f>
        <v>2044</v>
      </c>
      <c r="M32" s="19">
        <f ca="1">SUMIFS(OFFSET('BPC Data'!$F:$F,0,Summary!M$2),'BPC Data'!$E:$E,Summary!$D32,'BPC Data'!$B:$B,Summary!$C32)</f>
        <v>2393</v>
      </c>
      <c r="N32" s="183">
        <f ca="1">SUMIFS(OFFSET('BPC Data'!$F:$F,0,Summary!N$2),'BPC Data'!$E:$E,Summary!$D32,'BPC Data'!$B:$B,Summary!$C32)</f>
        <v>2363</v>
      </c>
      <c r="O32" s="19">
        <f ca="1">SUMIFS(OFFSET('BPC Data'!$F:$F,0,Summary!O$2),'BPC Data'!$E:$E,Summary!$D32,'BPC Data'!$B:$B,Summary!$C32)</f>
        <v>2388</v>
      </c>
      <c r="P32" s="183">
        <f ca="1">SUMIFS(OFFSET('BPC Data'!$F:$F,0,Summary!P$2),'BPC Data'!$E:$E,Summary!$D32,'BPC Data'!$B:$B,Summary!$C32)</f>
        <v>2193</v>
      </c>
      <c r="Q32" s="19">
        <f ca="1">SUMIFS(OFFSET('BPC Data'!$F:$F,0,Summary!Q$2),'BPC Data'!$E:$E,Summary!$D32,'BPC Data'!$B:$B,Summary!$C32)</f>
        <v>2279</v>
      </c>
      <c r="R32" s="183">
        <f ca="1">SUMIFS(OFFSET('BPC Data'!$F:$F,0,Summary!R$2),'BPC Data'!$E:$E,Summary!$D32,'BPC Data'!$B:$B,Summary!$C32)</f>
        <v>2252</v>
      </c>
      <c r="S32" s="187">
        <f t="shared" ca="1" si="20"/>
        <v>25503</v>
      </c>
      <c r="T32" s="181"/>
    </row>
    <row r="33" spans="1:20" s="17" customFormat="1" x14ac:dyDescent="0.25">
      <c r="A33" s="17">
        <f t="shared" ref="A33:A41" si="27">IF(AND(F33&lt;&gt;"",D33=""),A32+1,A32)</f>
        <v>3</v>
      </c>
      <c r="C33" t="str">
        <f>$F31</f>
        <v>SHC at Larkin Springs</v>
      </c>
      <c r="D33" s="3" t="str">
        <f t="shared" si="24"/>
        <v>A_BEDS_TOTAL - Total Available Beds</v>
      </c>
      <c r="F33" s="24" t="str">
        <f>_xll.EVDES(D33)</f>
        <v>Total Available Beds</v>
      </c>
      <c r="G33" s="19">
        <f ca="1">SUMIFS(OFFSET('BPC Data'!$F:$F,0,Summary!G$2),'BPC Data'!$E:$E,Summary!$D33,'BPC Data'!$B:$B,Summary!$C33)</f>
        <v>102</v>
      </c>
      <c r="H33" s="183">
        <f ca="1">SUMIFS(OFFSET('BPC Data'!$F:$F,0,Summary!H$2),'BPC Data'!$E:$E,Summary!$D33,'BPC Data'!$B:$B,Summary!$C33)</f>
        <v>102</v>
      </c>
      <c r="I33" s="19">
        <f ca="1">SUMIFS(OFFSET('BPC Data'!$F:$F,0,Summary!I$2),'BPC Data'!$E:$E,Summary!$D33,'BPC Data'!$B:$B,Summary!$C33)</f>
        <v>102</v>
      </c>
      <c r="J33" s="183">
        <f ca="1">SUMIFS(OFFSET('BPC Data'!$F:$F,0,Summary!J$2),'BPC Data'!$E:$E,Summary!$D33,'BPC Data'!$B:$B,Summary!$C33)</f>
        <v>102</v>
      </c>
      <c r="K33" s="19">
        <f ca="1">SUMIFS(OFFSET('BPC Data'!$F:$F,0,Summary!K$2),'BPC Data'!$E:$E,Summary!$D33,'BPC Data'!$B:$B,Summary!$C33)</f>
        <v>102</v>
      </c>
      <c r="L33" s="183">
        <f ca="1">SUMIFS(OFFSET('BPC Data'!$F:$F,0,Summary!L$2),'BPC Data'!$E:$E,Summary!$D33,'BPC Data'!$B:$B,Summary!$C33)</f>
        <v>102</v>
      </c>
      <c r="M33" s="19">
        <f ca="1">SUMIFS(OFFSET('BPC Data'!$F:$F,0,Summary!M$2),'BPC Data'!$E:$E,Summary!$D33,'BPC Data'!$B:$B,Summary!$C33)</f>
        <v>102</v>
      </c>
      <c r="N33" s="183">
        <f ca="1">SUMIFS(OFFSET('BPC Data'!$F:$F,0,Summary!N$2),'BPC Data'!$E:$E,Summary!$D33,'BPC Data'!$B:$B,Summary!$C33)</f>
        <v>102</v>
      </c>
      <c r="O33" s="19">
        <f ca="1">SUMIFS(OFFSET('BPC Data'!$F:$F,0,Summary!O$2),'BPC Data'!$E:$E,Summary!$D33,'BPC Data'!$B:$B,Summary!$C33)</f>
        <v>102</v>
      </c>
      <c r="P33" s="183">
        <f ca="1">SUMIFS(OFFSET('BPC Data'!$F:$F,0,Summary!P$2),'BPC Data'!$E:$E,Summary!$D33,'BPC Data'!$B:$B,Summary!$C33)</f>
        <v>102</v>
      </c>
      <c r="Q33" s="19">
        <f ca="1">SUMIFS(OFFSET('BPC Data'!$F:$F,0,Summary!Q$2),'BPC Data'!$E:$E,Summary!$D33,'BPC Data'!$B:$B,Summary!$C33)</f>
        <v>102</v>
      </c>
      <c r="R33" s="183">
        <f ca="1">SUMIFS(OFFSET('BPC Data'!$F:$F,0,Summary!R$2),'BPC Data'!$E:$E,Summary!$D33,'BPC Data'!$B:$B,Summary!$C33)</f>
        <v>102</v>
      </c>
      <c r="S33" s="187">
        <f ca="1">R33</f>
        <v>102</v>
      </c>
      <c r="T33" s="181"/>
    </row>
    <row r="34" spans="1:20" s="17" customFormat="1" x14ac:dyDescent="0.25">
      <c r="A34" s="17">
        <f t="shared" si="27"/>
        <v>3</v>
      </c>
      <c r="B34"/>
      <c r="C34" t="str">
        <f>$F31</f>
        <v>SHC at Larkin Springs</v>
      </c>
      <c r="D34" s="3" t="str">
        <f t="shared" si="24"/>
        <v>T_REVENUES - Total Tenant Revenues</v>
      </c>
      <c r="E34"/>
      <c r="F34" s="24" t="str">
        <f>_xll.EVDES(D34)</f>
        <v>Total Tenant Revenues</v>
      </c>
      <c r="G34" s="19">
        <f ca="1">SUMIFS(OFFSET('BPC Data'!$F:$F,0,Summary!G$2),'BPC Data'!$E:$E,Summary!$D34,'BPC Data'!$B:$B,Summary!$C34)</f>
        <v>506662</v>
      </c>
      <c r="H34" s="183">
        <f ca="1">SUMIFS(OFFSET('BPC Data'!$F:$F,0,Summary!H$2),'BPC Data'!$E:$E,Summary!$D34,'BPC Data'!$B:$B,Summary!$C34)</f>
        <v>633201</v>
      </c>
      <c r="I34" s="19">
        <f ca="1">SUMIFS(OFFSET('BPC Data'!$F:$F,0,Summary!I$2),'BPC Data'!$E:$E,Summary!$D34,'BPC Data'!$B:$B,Summary!$C34)</f>
        <v>695598</v>
      </c>
      <c r="J34" s="183">
        <f ca="1">SUMIFS(OFFSET('BPC Data'!$F:$F,0,Summary!J$2),'BPC Data'!$E:$E,Summary!$D34,'BPC Data'!$B:$B,Summary!$C34)</f>
        <v>837708</v>
      </c>
      <c r="K34" s="19">
        <f ca="1">SUMIFS(OFFSET('BPC Data'!$F:$F,0,Summary!K$2),'BPC Data'!$E:$E,Summary!$D34,'BPC Data'!$B:$B,Summary!$C34)</f>
        <v>608224</v>
      </c>
      <c r="L34" s="183">
        <f ca="1">SUMIFS(OFFSET('BPC Data'!$F:$F,0,Summary!L$2),'BPC Data'!$E:$E,Summary!$D34,'BPC Data'!$B:$B,Summary!$C34)</f>
        <v>621891</v>
      </c>
      <c r="M34" s="19">
        <f ca="1">SUMIFS(OFFSET('BPC Data'!$F:$F,0,Summary!M$2),'BPC Data'!$E:$E,Summary!$D34,'BPC Data'!$B:$B,Summary!$C34)</f>
        <v>734378</v>
      </c>
      <c r="N34" s="183">
        <f ca="1">SUMIFS(OFFSET('BPC Data'!$F:$F,0,Summary!N$2),'BPC Data'!$E:$E,Summary!$D34,'BPC Data'!$B:$B,Summary!$C34)</f>
        <v>793992</v>
      </c>
      <c r="O34" s="19">
        <f ca="1">SUMIFS(OFFSET('BPC Data'!$F:$F,0,Summary!O$2),'BPC Data'!$E:$E,Summary!$D34,'BPC Data'!$B:$B,Summary!$C34)</f>
        <v>706765</v>
      </c>
      <c r="P34" s="183">
        <f ca="1">SUMIFS(OFFSET('BPC Data'!$F:$F,0,Summary!P$2),'BPC Data'!$E:$E,Summary!$D34,'BPC Data'!$B:$B,Summary!$C34)</f>
        <v>649635</v>
      </c>
      <c r="Q34" s="19">
        <f ca="1">SUMIFS(OFFSET('BPC Data'!$F:$F,0,Summary!Q$2),'BPC Data'!$E:$E,Summary!$D34,'BPC Data'!$B:$B,Summary!$C34)</f>
        <v>658111</v>
      </c>
      <c r="R34" s="183">
        <f ca="1">SUMIFS(OFFSET('BPC Data'!$F:$F,0,Summary!R$2),'BPC Data'!$E:$E,Summary!$D34,'BPC Data'!$B:$B,Summary!$C34)</f>
        <v>680903</v>
      </c>
      <c r="S34" s="187">
        <f t="shared" ca="1" si="20"/>
        <v>8127068</v>
      </c>
      <c r="T34" s="181"/>
    </row>
    <row r="35" spans="1:20" s="17" customFormat="1" x14ac:dyDescent="0.25">
      <c r="A35" s="17">
        <f t="shared" si="27"/>
        <v>3</v>
      </c>
      <c r="B35"/>
      <c r="C35" t="str">
        <f>$F31</f>
        <v>SHC at Larkin Springs</v>
      </c>
      <c r="D35" s="3" t="str">
        <f t="shared" si="24"/>
        <v>T_OPEX - Tenant Operating Expenses</v>
      </c>
      <c r="E35"/>
      <c r="F35" s="24" t="str">
        <f>_xll.EVDES(D35)</f>
        <v>Tenant Operating Expenses</v>
      </c>
      <c r="G35" s="19">
        <f ca="1">SUMIFS(OFFSET('BPC Data'!$F:$F,0,Summary!G$2),'BPC Data'!$E:$E,Summary!$D35,'BPC Data'!$B:$B,Summary!$C35)</f>
        <v>497035</v>
      </c>
      <c r="H35" s="183">
        <f ca="1">SUMIFS(OFFSET('BPC Data'!$F:$F,0,Summary!H$2),'BPC Data'!$E:$E,Summary!$D35,'BPC Data'!$B:$B,Summary!$C35)</f>
        <v>503516</v>
      </c>
      <c r="I35" s="19">
        <f ca="1">SUMIFS(OFFSET('BPC Data'!$F:$F,0,Summary!I$2),'BPC Data'!$E:$E,Summary!$D35,'BPC Data'!$B:$B,Summary!$C35)</f>
        <v>538854</v>
      </c>
      <c r="J35" s="183">
        <f ca="1">SUMIFS(OFFSET('BPC Data'!$F:$F,0,Summary!J$2),'BPC Data'!$E:$E,Summary!$D35,'BPC Data'!$B:$B,Summary!$C35)</f>
        <v>707040</v>
      </c>
      <c r="K35" s="19">
        <f ca="1">SUMIFS(OFFSET('BPC Data'!$F:$F,0,Summary!K$2),'BPC Data'!$E:$E,Summary!$D35,'BPC Data'!$B:$B,Summary!$C35)</f>
        <v>672742</v>
      </c>
      <c r="L35" s="183">
        <f ca="1">SUMIFS(OFFSET('BPC Data'!$F:$F,0,Summary!L$2),'BPC Data'!$E:$E,Summary!$D35,'BPC Data'!$B:$B,Summary!$C35)</f>
        <v>726147</v>
      </c>
      <c r="M35" s="19">
        <f ca="1">SUMIFS(OFFSET('BPC Data'!$F:$F,0,Summary!M$2),'BPC Data'!$E:$E,Summary!$D35,'BPC Data'!$B:$B,Summary!$C35)</f>
        <v>874212</v>
      </c>
      <c r="N35" s="183">
        <f ca="1">SUMIFS(OFFSET('BPC Data'!$F:$F,0,Summary!N$2),'BPC Data'!$E:$E,Summary!$D35,'BPC Data'!$B:$B,Summary!$C35)</f>
        <v>876437</v>
      </c>
      <c r="O35" s="19">
        <f ca="1">SUMIFS(OFFSET('BPC Data'!$F:$F,0,Summary!O$2),'BPC Data'!$E:$E,Summary!$D35,'BPC Data'!$B:$B,Summary!$C35)</f>
        <v>729879</v>
      </c>
      <c r="P35" s="183">
        <f ca="1">SUMIFS(OFFSET('BPC Data'!$F:$F,0,Summary!P$2),'BPC Data'!$E:$E,Summary!$D35,'BPC Data'!$B:$B,Summary!$C35)</f>
        <v>733296</v>
      </c>
      <c r="Q35" s="19">
        <f ca="1">SUMIFS(OFFSET('BPC Data'!$F:$F,0,Summary!Q$2),'BPC Data'!$E:$E,Summary!$D35,'BPC Data'!$B:$B,Summary!$C35)</f>
        <v>718596</v>
      </c>
      <c r="R35" s="183">
        <f ca="1">SUMIFS(OFFSET('BPC Data'!$F:$F,0,Summary!R$2),'BPC Data'!$E:$E,Summary!$D35,'BPC Data'!$B:$B,Summary!$C35)</f>
        <v>894078</v>
      </c>
      <c r="S35" s="187">
        <f t="shared" ca="1" si="20"/>
        <v>8471832</v>
      </c>
      <c r="T35" s="181"/>
    </row>
    <row r="36" spans="1:20" s="17" customFormat="1" x14ac:dyDescent="0.25">
      <c r="A36" s="17">
        <f t="shared" si="27"/>
        <v>3</v>
      </c>
      <c r="B36"/>
      <c r="C36" t="str">
        <f>$F31</f>
        <v>SHC at Larkin Springs</v>
      </c>
      <c r="D36" s="3" t="str">
        <f t="shared" si="24"/>
        <v>T_BAD_DEBT - Tenant Bad Debt Expense</v>
      </c>
      <c r="E36"/>
      <c r="F36" s="24" t="str">
        <f>_xll.EVDES(D36)</f>
        <v>Tenant Bad Debt Expense</v>
      </c>
      <c r="G36" s="19">
        <f ca="1">SUMIFS(OFFSET('BPC Data'!$F:$F,0,Summary!G$2),'BPC Data'!$E:$E,Summary!$D36,'BPC Data'!$B:$B,Summary!$C36)</f>
        <v>11724</v>
      </c>
      <c r="H36" s="183">
        <f ca="1">SUMIFS(OFFSET('BPC Data'!$F:$F,0,Summary!H$2),'BPC Data'!$E:$E,Summary!$D36,'BPC Data'!$B:$B,Summary!$C36)</f>
        <v>15717</v>
      </c>
      <c r="I36" s="19">
        <f ca="1">SUMIFS(OFFSET('BPC Data'!$F:$F,0,Summary!I$2),'BPC Data'!$E:$E,Summary!$D36,'BPC Data'!$B:$B,Summary!$C36)</f>
        <v>0</v>
      </c>
      <c r="J36" s="183">
        <f ca="1">SUMIFS(OFFSET('BPC Data'!$F:$F,0,Summary!J$2),'BPC Data'!$E:$E,Summary!$D36,'BPC Data'!$B:$B,Summary!$C36)</f>
        <v>8589</v>
      </c>
      <c r="K36" s="19">
        <f ca="1">SUMIFS(OFFSET('BPC Data'!$F:$F,0,Summary!K$2),'BPC Data'!$E:$E,Summary!$D36,'BPC Data'!$B:$B,Summary!$C36)</f>
        <v>10211</v>
      </c>
      <c r="L36" s="183">
        <f ca="1">SUMIFS(OFFSET('BPC Data'!$F:$F,0,Summary!L$2),'BPC Data'!$E:$E,Summary!$D36,'BPC Data'!$B:$B,Summary!$C36)</f>
        <v>10106</v>
      </c>
      <c r="M36" s="19">
        <f ca="1">SUMIFS(OFFSET('BPC Data'!$F:$F,0,Summary!M$2),'BPC Data'!$E:$E,Summary!$D36,'BPC Data'!$B:$B,Summary!$C36)</f>
        <v>0</v>
      </c>
      <c r="N36" s="183">
        <f ca="1">SUMIFS(OFFSET('BPC Data'!$F:$F,0,Summary!N$2),'BPC Data'!$E:$E,Summary!$D36,'BPC Data'!$B:$B,Summary!$C36)</f>
        <v>0</v>
      </c>
      <c r="O36" s="19">
        <f ca="1">SUMIFS(OFFSET('BPC Data'!$F:$F,0,Summary!O$2),'BPC Data'!$E:$E,Summary!$D36,'BPC Data'!$B:$B,Summary!$C36)</f>
        <v>0</v>
      </c>
      <c r="P36" s="183">
        <f ca="1">SUMIFS(OFFSET('BPC Data'!$F:$F,0,Summary!P$2),'BPC Data'!$E:$E,Summary!$D36,'BPC Data'!$B:$B,Summary!$C36)</f>
        <v>0</v>
      </c>
      <c r="Q36" s="19">
        <f ca="1">SUMIFS(OFFSET('BPC Data'!$F:$F,0,Summary!Q$2),'BPC Data'!$E:$E,Summary!$D36,'BPC Data'!$B:$B,Summary!$C36)</f>
        <v>7228</v>
      </c>
      <c r="R36" s="183">
        <f ca="1">SUMIFS(OFFSET('BPC Data'!$F:$F,0,Summary!R$2),'BPC Data'!$E:$E,Summary!$D36,'BPC Data'!$B:$B,Summary!$C36)</f>
        <v>20106</v>
      </c>
      <c r="S36" s="187">
        <f t="shared" ca="1" si="20"/>
        <v>83681</v>
      </c>
      <c r="T36" s="181"/>
    </row>
    <row r="37" spans="1:20" s="17" customFormat="1" x14ac:dyDescent="0.25">
      <c r="A37" s="17">
        <f t="shared" si="27"/>
        <v>3</v>
      </c>
      <c r="B37"/>
      <c r="C37" t="str">
        <f>$F31</f>
        <v>SHC at Larkin Springs</v>
      </c>
      <c r="D37" s="2" t="str">
        <f t="shared" si="24"/>
        <v>T_EBITDARM - EBITDARM</v>
      </c>
      <c r="E37"/>
      <c r="F37" s="24" t="str">
        <f>_xll.EVDES(D37)</f>
        <v>EBITDARM</v>
      </c>
      <c r="G37" s="19">
        <f ca="1">SUMIFS(OFFSET('BPC Data'!$F:$F,0,Summary!G$2),'BPC Data'!$E:$E,Summary!$D37,'BPC Data'!$B:$B,Summary!$C37)</f>
        <v>9627</v>
      </c>
      <c r="H37" s="183">
        <f ca="1">SUMIFS(OFFSET('BPC Data'!$F:$F,0,Summary!H$2),'BPC Data'!$E:$E,Summary!$D37,'BPC Data'!$B:$B,Summary!$C37)</f>
        <v>129685</v>
      </c>
      <c r="I37" s="19">
        <f ca="1">SUMIFS(OFFSET('BPC Data'!$F:$F,0,Summary!I$2),'BPC Data'!$E:$E,Summary!$D37,'BPC Data'!$B:$B,Summary!$C37)</f>
        <v>156744</v>
      </c>
      <c r="J37" s="183">
        <f ca="1">SUMIFS(OFFSET('BPC Data'!$F:$F,0,Summary!J$2),'BPC Data'!$E:$E,Summary!$D37,'BPC Data'!$B:$B,Summary!$C37)</f>
        <v>130668</v>
      </c>
      <c r="K37" s="19">
        <f ca="1">SUMIFS(OFFSET('BPC Data'!$F:$F,0,Summary!K$2),'BPC Data'!$E:$E,Summary!$D37,'BPC Data'!$B:$B,Summary!$C37)</f>
        <v>-64518</v>
      </c>
      <c r="L37" s="183">
        <f ca="1">SUMIFS(OFFSET('BPC Data'!$F:$F,0,Summary!L$2),'BPC Data'!$E:$E,Summary!$D37,'BPC Data'!$B:$B,Summary!$C37)</f>
        <v>-104256</v>
      </c>
      <c r="M37" s="19">
        <f ca="1">SUMIFS(OFFSET('BPC Data'!$F:$F,0,Summary!M$2),'BPC Data'!$E:$E,Summary!$D37,'BPC Data'!$B:$B,Summary!$C37)</f>
        <v>-139834</v>
      </c>
      <c r="N37" s="183">
        <f ca="1">SUMIFS(OFFSET('BPC Data'!$F:$F,0,Summary!N$2),'BPC Data'!$E:$E,Summary!$D37,'BPC Data'!$B:$B,Summary!$C37)</f>
        <v>-82445</v>
      </c>
      <c r="O37" s="19">
        <f ca="1">SUMIFS(OFFSET('BPC Data'!$F:$F,0,Summary!O$2),'BPC Data'!$E:$E,Summary!$D37,'BPC Data'!$B:$B,Summary!$C37)</f>
        <v>-23114</v>
      </c>
      <c r="P37" s="183">
        <f ca="1">SUMIFS(OFFSET('BPC Data'!$F:$F,0,Summary!P$2),'BPC Data'!$E:$E,Summary!$D37,'BPC Data'!$B:$B,Summary!$C37)</f>
        <v>-83661</v>
      </c>
      <c r="Q37" s="19">
        <f ca="1">SUMIFS(OFFSET('BPC Data'!$F:$F,0,Summary!Q$2),'BPC Data'!$E:$E,Summary!$D37,'BPC Data'!$B:$B,Summary!$C37)</f>
        <v>-60485</v>
      </c>
      <c r="R37" s="183">
        <f ca="1">SUMIFS(OFFSET('BPC Data'!$F:$F,0,Summary!R$2),'BPC Data'!$E:$E,Summary!$D37,'BPC Data'!$B:$B,Summary!$C37)</f>
        <v>-213175</v>
      </c>
      <c r="S37" s="187">
        <f t="shared" ca="1" si="20"/>
        <v>-344764</v>
      </c>
      <c r="T37" s="181"/>
    </row>
    <row r="38" spans="1:20" s="17" customFormat="1" x14ac:dyDescent="0.25">
      <c r="A38" s="17">
        <f t="shared" si="27"/>
        <v>3</v>
      </c>
      <c r="B38"/>
      <c r="C38" t="str">
        <f>$F31</f>
        <v>SHC at Larkin Springs</v>
      </c>
      <c r="D38" s="2" t="str">
        <f t="shared" si="24"/>
        <v>T_MGMT_FEE - Tenant Management Fee - Actual</v>
      </c>
      <c r="E38"/>
      <c r="F38" s="24" t="str">
        <f>_xll.EVDES(D38)</f>
        <v>Tenant Management Fee - Actual</v>
      </c>
      <c r="G38" s="19">
        <f ca="1">SUMIFS(OFFSET('BPC Data'!$F:$F,0,Summary!G$2),'BPC Data'!$E:$E,Summary!$D38,'BPC Data'!$B:$B,Summary!$C38)</f>
        <v>24889</v>
      </c>
      <c r="H38" s="183">
        <f ca="1">SUMIFS(OFFSET('BPC Data'!$F:$F,0,Summary!H$2),'BPC Data'!$E:$E,Summary!$D38,'BPC Data'!$B:$B,Summary!$C38)</f>
        <v>31977</v>
      </c>
      <c r="I38" s="19">
        <f ca="1">SUMIFS(OFFSET('BPC Data'!$F:$F,0,Summary!I$2),'BPC Data'!$E:$E,Summary!$D38,'BPC Data'!$B:$B,Summary!$C38)</f>
        <v>35128</v>
      </c>
      <c r="J38" s="183">
        <f ca="1">SUMIFS(OFFSET('BPC Data'!$F:$F,0,Summary!J$2),'BPC Data'!$E:$E,Summary!$D38,'BPC Data'!$B:$B,Summary!$C38)</f>
        <v>44037</v>
      </c>
      <c r="K38" s="19">
        <f ca="1">SUMIFS(OFFSET('BPC Data'!$F:$F,0,Summary!K$2),'BPC Data'!$E:$E,Summary!$D38,'BPC Data'!$B:$B,Summary!$C38)</f>
        <v>30715</v>
      </c>
      <c r="L38" s="183">
        <f ca="1">SUMIFS(OFFSET('BPC Data'!$F:$F,0,Summary!L$2),'BPC Data'!$E:$E,Summary!$D38,'BPC Data'!$B:$B,Summary!$C38)</f>
        <v>31406</v>
      </c>
      <c r="M38" s="19">
        <f ca="1">SUMIFS(OFFSET('BPC Data'!$F:$F,0,Summary!M$2),'BPC Data'!$E:$E,Summary!$D38,'BPC Data'!$B:$B,Summary!$C38)</f>
        <v>37086</v>
      </c>
      <c r="N38" s="183">
        <f ca="1">SUMIFS(OFFSET('BPC Data'!$F:$F,0,Summary!N$2),'BPC Data'!$E:$E,Summary!$D38,'BPC Data'!$B:$B,Summary!$C38)</f>
        <v>40097</v>
      </c>
      <c r="O38" s="19">
        <f ca="1">SUMIFS(OFFSET('BPC Data'!$F:$F,0,Summary!O$2),'BPC Data'!$E:$E,Summary!$D38,'BPC Data'!$B:$B,Summary!$C38)</f>
        <v>35692</v>
      </c>
      <c r="P38" s="183">
        <f ca="1">SUMIFS(OFFSET('BPC Data'!$F:$F,0,Summary!P$2),'BPC Data'!$E:$E,Summary!$D38,'BPC Data'!$B:$B,Summary!$C38)</f>
        <v>32807</v>
      </c>
      <c r="Q38" s="19">
        <f ca="1">SUMIFS(OFFSET('BPC Data'!$F:$F,0,Summary!Q$2),'BPC Data'!$E:$E,Summary!$D38,'BPC Data'!$B:$B,Summary!$C38)</f>
        <v>33235</v>
      </c>
      <c r="R38" s="183">
        <f ca="1">SUMIFS(OFFSET('BPC Data'!$F:$F,0,Summary!R$2),'BPC Data'!$E:$E,Summary!$D38,'BPC Data'!$B:$B,Summary!$C38)</f>
        <v>34386</v>
      </c>
      <c r="S38" s="187">
        <f t="shared" ca="1" si="20"/>
        <v>411455</v>
      </c>
      <c r="T38" s="181"/>
    </row>
    <row r="39" spans="1:20" s="17" customFormat="1" x14ac:dyDescent="0.25">
      <c r="A39" s="17">
        <f t="shared" si="27"/>
        <v>3</v>
      </c>
      <c r="B39"/>
      <c r="C39" t="str">
        <f>$F31</f>
        <v>SHC at Larkin Springs</v>
      </c>
      <c r="D39" s="1" t="str">
        <f t="shared" si="24"/>
        <v>T_EBITDAR - EBITDAR</v>
      </c>
      <c r="E39"/>
      <c r="F39" s="24" t="str">
        <f>_xll.EVDES(D39)</f>
        <v>EBITDAR</v>
      </c>
      <c r="G39" s="19">
        <f ca="1">SUMIFS(OFFSET('BPC Data'!$F:$F,0,Summary!G$2),'BPC Data'!$E:$E,Summary!$D39,'BPC Data'!$B:$B,Summary!$C39)</f>
        <v>-15262</v>
      </c>
      <c r="H39" s="183">
        <f ca="1">SUMIFS(OFFSET('BPC Data'!$F:$F,0,Summary!H$2),'BPC Data'!$E:$E,Summary!$D39,'BPC Data'!$B:$B,Summary!$C39)</f>
        <v>97708</v>
      </c>
      <c r="I39" s="19">
        <f ca="1">SUMIFS(OFFSET('BPC Data'!$F:$F,0,Summary!I$2),'BPC Data'!$E:$E,Summary!$D39,'BPC Data'!$B:$B,Summary!$C39)</f>
        <v>121616</v>
      </c>
      <c r="J39" s="183">
        <f ca="1">SUMIFS(OFFSET('BPC Data'!$F:$F,0,Summary!J$2),'BPC Data'!$E:$E,Summary!$D39,'BPC Data'!$B:$B,Summary!$C39)</f>
        <v>86631</v>
      </c>
      <c r="K39" s="19">
        <f ca="1">SUMIFS(OFFSET('BPC Data'!$F:$F,0,Summary!K$2),'BPC Data'!$E:$E,Summary!$D39,'BPC Data'!$B:$B,Summary!$C39)</f>
        <v>-95233</v>
      </c>
      <c r="L39" s="183">
        <f ca="1">SUMIFS(OFFSET('BPC Data'!$F:$F,0,Summary!L$2),'BPC Data'!$E:$E,Summary!$D39,'BPC Data'!$B:$B,Summary!$C39)</f>
        <v>-135662</v>
      </c>
      <c r="M39" s="19">
        <f ca="1">SUMIFS(OFFSET('BPC Data'!$F:$F,0,Summary!M$2),'BPC Data'!$E:$E,Summary!$D39,'BPC Data'!$B:$B,Summary!$C39)</f>
        <v>-176920</v>
      </c>
      <c r="N39" s="183">
        <f ca="1">SUMIFS(OFFSET('BPC Data'!$F:$F,0,Summary!N$2),'BPC Data'!$E:$E,Summary!$D39,'BPC Data'!$B:$B,Summary!$C39)</f>
        <v>-122542</v>
      </c>
      <c r="O39" s="19">
        <f ca="1">SUMIFS(OFFSET('BPC Data'!$F:$F,0,Summary!O$2),'BPC Data'!$E:$E,Summary!$D39,'BPC Data'!$B:$B,Summary!$C39)</f>
        <v>-58806</v>
      </c>
      <c r="P39" s="183">
        <f ca="1">SUMIFS(OFFSET('BPC Data'!$F:$F,0,Summary!P$2),'BPC Data'!$E:$E,Summary!$D39,'BPC Data'!$B:$B,Summary!$C39)</f>
        <v>-116468</v>
      </c>
      <c r="Q39" s="19">
        <f ca="1">SUMIFS(OFFSET('BPC Data'!$F:$F,0,Summary!Q$2),'BPC Data'!$E:$E,Summary!$D39,'BPC Data'!$B:$B,Summary!$C39)</f>
        <v>-93720</v>
      </c>
      <c r="R39" s="183">
        <f ca="1">SUMIFS(OFFSET('BPC Data'!$F:$F,0,Summary!R$2),'BPC Data'!$E:$E,Summary!$D39,'BPC Data'!$B:$B,Summary!$C39)</f>
        <v>-247561</v>
      </c>
      <c r="S39" s="187">
        <f t="shared" ca="1" si="20"/>
        <v>-756219</v>
      </c>
      <c r="T39" s="181"/>
    </row>
    <row r="40" spans="1:20" s="17" customFormat="1" x14ac:dyDescent="0.25">
      <c r="A40" s="17">
        <f t="shared" si="27"/>
        <v>3</v>
      </c>
      <c r="B40"/>
      <c r="C40" t="str">
        <f>$F31</f>
        <v>SHC at Larkin Springs</v>
      </c>
      <c r="D40" s="1" t="str">
        <f t="shared" si="24"/>
        <v>T_RENT_EXP - Tenant Rent Expense</v>
      </c>
      <c r="E40"/>
      <c r="F40" s="24" t="str">
        <f>_xll.EVDES(D40)</f>
        <v>Tenant Rent Expense</v>
      </c>
      <c r="G40" s="19">
        <f ca="1">SUMIFS(OFFSET('BPC Data'!$F:$F,0,Summary!G$2),'BPC Data'!$E:$E,Summary!$D40,'BPC Data'!$B:$B,Summary!$C40)</f>
        <v>83026</v>
      </c>
      <c r="H40" s="183">
        <f ca="1">SUMIFS(OFFSET('BPC Data'!$F:$F,0,Summary!H$2),'BPC Data'!$E:$E,Summary!$D40,'BPC Data'!$B:$B,Summary!$C40)</f>
        <v>83026</v>
      </c>
      <c r="I40" s="19">
        <f ca="1">SUMIFS(OFFSET('BPC Data'!$F:$F,0,Summary!I$2),'BPC Data'!$E:$E,Summary!$D40,'BPC Data'!$B:$B,Summary!$C40)</f>
        <v>83026</v>
      </c>
      <c r="J40" s="183">
        <f ca="1">SUMIFS(OFFSET('BPC Data'!$F:$F,0,Summary!J$2),'BPC Data'!$E:$E,Summary!$D40,'BPC Data'!$B:$B,Summary!$C40)</f>
        <v>85101</v>
      </c>
      <c r="K40" s="19">
        <f ca="1">SUMIFS(OFFSET('BPC Data'!$F:$F,0,Summary!K$2),'BPC Data'!$E:$E,Summary!$D40,'BPC Data'!$B:$B,Summary!$C40)</f>
        <v>85101</v>
      </c>
      <c r="L40" s="183">
        <f ca="1">SUMIFS(OFFSET('BPC Data'!$F:$F,0,Summary!L$2),'BPC Data'!$E:$E,Summary!$D40,'BPC Data'!$B:$B,Summary!$C40)</f>
        <v>85101</v>
      </c>
      <c r="M40" s="19">
        <f ca="1">SUMIFS(OFFSET('BPC Data'!$F:$F,0,Summary!M$2),'BPC Data'!$E:$E,Summary!$D40,'BPC Data'!$B:$B,Summary!$C40)</f>
        <v>85101</v>
      </c>
      <c r="N40" s="183">
        <f ca="1">SUMIFS(OFFSET('BPC Data'!$F:$F,0,Summary!N$2),'BPC Data'!$E:$E,Summary!$D40,'BPC Data'!$B:$B,Summary!$C40)</f>
        <v>85101</v>
      </c>
      <c r="O40" s="19">
        <f ca="1">SUMIFS(OFFSET('BPC Data'!$F:$F,0,Summary!O$2),'BPC Data'!$E:$E,Summary!$D40,'BPC Data'!$B:$B,Summary!$C40)</f>
        <v>85101</v>
      </c>
      <c r="P40" s="183">
        <f ca="1">SUMIFS(OFFSET('BPC Data'!$F:$F,0,Summary!P$2),'BPC Data'!$E:$E,Summary!$D40,'BPC Data'!$B:$B,Summary!$C40)</f>
        <v>85101</v>
      </c>
      <c r="Q40" s="19">
        <f ca="1">SUMIFS(OFFSET('BPC Data'!$F:$F,0,Summary!Q$2),'BPC Data'!$E:$E,Summary!$D40,'BPC Data'!$B:$B,Summary!$C40)</f>
        <v>85101</v>
      </c>
      <c r="R40" s="183">
        <f ca="1">SUMIFS(OFFSET('BPC Data'!$F:$F,0,Summary!R$2),'BPC Data'!$E:$E,Summary!$D40,'BPC Data'!$B:$B,Summary!$C40)</f>
        <v>85101</v>
      </c>
      <c r="S40" s="187">
        <f t="shared" ca="1" si="20"/>
        <v>1014987</v>
      </c>
      <c r="T40" s="181"/>
    </row>
    <row r="41" spans="1:20" s="17" customFormat="1" x14ac:dyDescent="0.25">
      <c r="A41" s="17">
        <f t="shared" si="27"/>
        <v>3</v>
      </c>
      <c r="B41"/>
      <c r="C41"/>
      <c r="D41" s="1" t="str">
        <f t="shared" si="24"/>
        <v>x</v>
      </c>
      <c r="E41"/>
      <c r="F41" s="24" t="s">
        <v>0</v>
      </c>
      <c r="G41" s="12">
        <f ca="1">G39/G40</f>
        <v>-0.18382193529737673</v>
      </c>
      <c r="H41" s="184">
        <f t="shared" ref="H41:I41" ca="1" si="28">H39/H40</f>
        <v>1.1768361718016043</v>
      </c>
      <c r="I41" s="12">
        <f t="shared" ca="1" si="28"/>
        <v>1.464794160865271</v>
      </c>
      <c r="J41" s="184">
        <f t="shared" ref="J41:R41" ca="1" si="29">J39/J40</f>
        <v>1.0179786371487998</v>
      </c>
      <c r="K41" s="12">
        <f t="shared" ca="1" si="29"/>
        <v>-1.1190585304520511</v>
      </c>
      <c r="L41" s="184">
        <f t="shared" ca="1" si="29"/>
        <v>-1.5941293286800391</v>
      </c>
      <c r="M41" s="12">
        <f t="shared" ca="1" si="29"/>
        <v>-2.0789414930494354</v>
      </c>
      <c r="N41" s="184">
        <f t="shared" ca="1" si="29"/>
        <v>-1.4399595774432732</v>
      </c>
      <c r="O41" s="12">
        <f t="shared" ca="1" si="29"/>
        <v>-0.69101420664857049</v>
      </c>
      <c r="P41" s="184">
        <f t="shared" ca="1" si="29"/>
        <v>-1.3685855630368622</v>
      </c>
      <c r="Q41" s="12">
        <f t="shared" ca="1" si="29"/>
        <v>-1.1012796559382381</v>
      </c>
      <c r="R41" s="184">
        <f t="shared" ca="1" si="29"/>
        <v>-2.9090257458784268</v>
      </c>
      <c r="S41" s="187">
        <f t="shared" ca="1" si="20"/>
        <v>-8.8262070666085979</v>
      </c>
      <c r="T41" s="181"/>
    </row>
    <row r="42" spans="1:20" s="17" customFormat="1" x14ac:dyDescent="0.25">
      <c r="A42" s="17">
        <f>IF(AND(D42&lt;&gt;"",C42=""),A41+1,A41)</f>
        <v>4</v>
      </c>
      <c r="B42" s="5"/>
      <c r="C42" s="5"/>
      <c r="D42" s="5" t="str">
        <f t="shared" si="24"/>
        <v>x</v>
      </c>
      <c r="E42" s="5"/>
      <c r="F42" s="23" t="str">
        <f>INDEX(PropertyList!$D:$D,MATCH(Summary!$A42,PropertyList!$C:$C,0))</f>
        <v>SHC of Savannah</v>
      </c>
      <c r="G42" s="11"/>
      <c r="H42" s="182"/>
      <c r="I42" s="11"/>
      <c r="J42" s="182"/>
      <c r="K42" s="11"/>
      <c r="L42" s="182"/>
      <c r="M42" s="11"/>
      <c r="N42" s="182"/>
      <c r="O42" s="11"/>
      <c r="P42" s="182"/>
      <c r="Q42" s="11"/>
      <c r="R42" s="182"/>
      <c r="S42" s="187">
        <f t="shared" si="20"/>
        <v>0</v>
      </c>
      <c r="T42" s="181"/>
    </row>
    <row r="43" spans="1:20" s="17" customFormat="1" x14ac:dyDescent="0.25">
      <c r="A43" s="17">
        <f>IF(AND(F43&lt;&gt;"",D43=""),A42+1,A42)</f>
        <v>4</v>
      </c>
      <c r="C43" t="str">
        <f>$F42</f>
        <v>SHC of Savannah</v>
      </c>
      <c r="D43" s="3" t="str">
        <f t="shared" si="24"/>
        <v>PAY_PAT_DAYS - Total Payor Patient Days</v>
      </c>
      <c r="F43" s="24" t="str">
        <f>_xll.EVDES(D43)</f>
        <v>Total Payor Patient Days</v>
      </c>
      <c r="G43" s="19">
        <f ca="1">SUMIFS(OFFSET('BPC Data'!$F:$F,0,Summary!G$2),'BPC Data'!$E:$E,Summary!$D43,'BPC Data'!$B:$B,Summary!$C43)</f>
        <v>2947</v>
      </c>
      <c r="H43" s="183">
        <f ca="1">SUMIFS(OFFSET('BPC Data'!$F:$F,0,Summary!H$2),'BPC Data'!$E:$E,Summary!$D43,'BPC Data'!$B:$B,Summary!$C43)</f>
        <v>3046</v>
      </c>
      <c r="I43" s="19">
        <f ca="1">SUMIFS(OFFSET('BPC Data'!$F:$F,0,Summary!I$2),'BPC Data'!$E:$E,Summary!$D43,'BPC Data'!$B:$B,Summary!$C43)</f>
        <v>3040</v>
      </c>
      <c r="J43" s="183">
        <f ca="1">SUMIFS(OFFSET('BPC Data'!$F:$F,0,Summary!J$2),'BPC Data'!$E:$E,Summary!$D43,'BPC Data'!$B:$B,Summary!$C43)</f>
        <v>3101</v>
      </c>
      <c r="K43" s="19">
        <f ca="1">SUMIFS(OFFSET('BPC Data'!$F:$F,0,Summary!K$2),'BPC Data'!$E:$E,Summary!$D43,'BPC Data'!$B:$B,Summary!$C43)</f>
        <v>3217</v>
      </c>
      <c r="L43" s="183">
        <f ca="1">SUMIFS(OFFSET('BPC Data'!$F:$F,0,Summary!L$2),'BPC Data'!$E:$E,Summary!$D43,'BPC Data'!$B:$B,Summary!$C43)</f>
        <v>3037</v>
      </c>
      <c r="M43" s="19">
        <f ca="1">SUMIFS(OFFSET('BPC Data'!$F:$F,0,Summary!M$2),'BPC Data'!$E:$E,Summary!$D43,'BPC Data'!$B:$B,Summary!$C43)</f>
        <v>3209</v>
      </c>
      <c r="N43" s="183">
        <f ca="1">SUMIFS(OFFSET('BPC Data'!$F:$F,0,Summary!N$2),'BPC Data'!$E:$E,Summary!$D43,'BPC Data'!$B:$B,Summary!$C43)</f>
        <v>3077</v>
      </c>
      <c r="O43" s="19">
        <f ca="1">SUMIFS(OFFSET('BPC Data'!$F:$F,0,Summary!O$2),'BPC Data'!$E:$E,Summary!$D43,'BPC Data'!$B:$B,Summary!$C43)</f>
        <v>3263</v>
      </c>
      <c r="P43" s="183">
        <f ca="1">SUMIFS(OFFSET('BPC Data'!$F:$F,0,Summary!P$2),'BPC Data'!$E:$E,Summary!$D43,'BPC Data'!$B:$B,Summary!$C43)</f>
        <v>3243</v>
      </c>
      <c r="Q43" s="19">
        <f ca="1">SUMIFS(OFFSET('BPC Data'!$F:$F,0,Summary!Q$2),'BPC Data'!$E:$E,Summary!$D43,'BPC Data'!$B:$B,Summary!$C43)</f>
        <v>3297</v>
      </c>
      <c r="R43" s="183">
        <f ca="1">SUMIFS(OFFSET('BPC Data'!$F:$F,0,Summary!R$2),'BPC Data'!$E:$E,Summary!$D43,'BPC Data'!$B:$B,Summary!$C43)</f>
        <v>3243</v>
      </c>
      <c r="S43" s="187">
        <f t="shared" ca="1" si="20"/>
        <v>37720</v>
      </c>
      <c r="T43" s="181"/>
    </row>
    <row r="44" spans="1:20" s="17" customFormat="1" x14ac:dyDescent="0.25">
      <c r="A44" s="17">
        <f t="shared" ref="A44:A52" si="30">IF(AND(F44&lt;&gt;"",D44=""),A43+1,A43)</f>
        <v>4</v>
      </c>
      <c r="C44" t="str">
        <f>$F42</f>
        <v>SHC of Savannah</v>
      </c>
      <c r="D44" s="3" t="str">
        <f t="shared" si="24"/>
        <v>A_BEDS_TOTAL - Total Available Beds</v>
      </c>
      <c r="F44" s="24" t="str">
        <f>_xll.EVDES(D44)</f>
        <v>Total Available Beds</v>
      </c>
      <c r="G44" s="19">
        <f ca="1">SUMIFS(OFFSET('BPC Data'!$F:$F,0,Summary!G$2),'BPC Data'!$E:$E,Summary!$D44,'BPC Data'!$B:$B,Summary!$C44)</f>
        <v>110</v>
      </c>
      <c r="H44" s="183">
        <f ca="1">SUMIFS(OFFSET('BPC Data'!$F:$F,0,Summary!H$2),'BPC Data'!$E:$E,Summary!$D44,'BPC Data'!$B:$B,Summary!$C44)</f>
        <v>110</v>
      </c>
      <c r="I44" s="19">
        <f ca="1">SUMIFS(OFFSET('BPC Data'!$F:$F,0,Summary!I$2),'BPC Data'!$E:$E,Summary!$D44,'BPC Data'!$B:$B,Summary!$C44)</f>
        <v>110</v>
      </c>
      <c r="J44" s="183">
        <f ca="1">SUMIFS(OFFSET('BPC Data'!$F:$F,0,Summary!J$2),'BPC Data'!$E:$E,Summary!$D44,'BPC Data'!$B:$B,Summary!$C44)</f>
        <v>110</v>
      </c>
      <c r="K44" s="19">
        <f ca="1">SUMIFS(OFFSET('BPC Data'!$F:$F,0,Summary!K$2),'BPC Data'!$E:$E,Summary!$D44,'BPC Data'!$B:$B,Summary!$C44)</f>
        <v>110</v>
      </c>
      <c r="L44" s="183">
        <f ca="1">SUMIFS(OFFSET('BPC Data'!$F:$F,0,Summary!L$2),'BPC Data'!$E:$E,Summary!$D44,'BPC Data'!$B:$B,Summary!$C44)</f>
        <v>110</v>
      </c>
      <c r="M44" s="19">
        <f ca="1">SUMIFS(OFFSET('BPC Data'!$F:$F,0,Summary!M$2),'BPC Data'!$E:$E,Summary!$D44,'BPC Data'!$B:$B,Summary!$C44)</f>
        <v>110</v>
      </c>
      <c r="N44" s="183">
        <f ca="1">SUMIFS(OFFSET('BPC Data'!$F:$F,0,Summary!N$2),'BPC Data'!$E:$E,Summary!$D44,'BPC Data'!$B:$B,Summary!$C44)</f>
        <v>110</v>
      </c>
      <c r="O44" s="19">
        <f ca="1">SUMIFS(OFFSET('BPC Data'!$F:$F,0,Summary!O$2),'BPC Data'!$E:$E,Summary!$D44,'BPC Data'!$B:$B,Summary!$C44)</f>
        <v>110</v>
      </c>
      <c r="P44" s="183">
        <f ca="1">SUMIFS(OFFSET('BPC Data'!$F:$F,0,Summary!P$2),'BPC Data'!$E:$E,Summary!$D44,'BPC Data'!$B:$B,Summary!$C44)</f>
        <v>110</v>
      </c>
      <c r="Q44" s="19">
        <f ca="1">SUMIFS(OFFSET('BPC Data'!$F:$F,0,Summary!Q$2),'BPC Data'!$E:$E,Summary!$D44,'BPC Data'!$B:$B,Summary!$C44)</f>
        <v>110</v>
      </c>
      <c r="R44" s="183">
        <f ca="1">SUMIFS(OFFSET('BPC Data'!$F:$F,0,Summary!R$2),'BPC Data'!$E:$E,Summary!$D44,'BPC Data'!$B:$B,Summary!$C44)</f>
        <v>110</v>
      </c>
      <c r="S44" s="187">
        <f ca="1">R44</f>
        <v>110</v>
      </c>
      <c r="T44" s="181"/>
    </row>
    <row r="45" spans="1:20" s="17" customFormat="1" x14ac:dyDescent="0.25">
      <c r="A45" s="17">
        <f t="shared" si="30"/>
        <v>4</v>
      </c>
      <c r="B45"/>
      <c r="C45" t="str">
        <f>$F42</f>
        <v>SHC of Savannah</v>
      </c>
      <c r="D45" s="3" t="str">
        <f t="shared" si="24"/>
        <v>T_REVENUES - Total Tenant Revenues</v>
      </c>
      <c r="E45"/>
      <c r="F45" s="24" t="str">
        <f>_xll.EVDES(D45)</f>
        <v>Total Tenant Revenues</v>
      </c>
      <c r="G45" s="19">
        <f ca="1">SUMIFS(OFFSET('BPC Data'!$F:$F,0,Summary!G$2),'BPC Data'!$E:$E,Summary!$D45,'BPC Data'!$B:$B,Summary!$C45)</f>
        <v>798946</v>
      </c>
      <c r="H45" s="183">
        <f ca="1">SUMIFS(OFFSET('BPC Data'!$F:$F,0,Summary!H$2),'BPC Data'!$E:$E,Summary!$D45,'BPC Data'!$B:$B,Summary!$C45)</f>
        <v>756549</v>
      </c>
      <c r="I45" s="19">
        <f ca="1">SUMIFS(OFFSET('BPC Data'!$F:$F,0,Summary!I$2),'BPC Data'!$E:$E,Summary!$D45,'BPC Data'!$B:$B,Summary!$C45)</f>
        <v>816275</v>
      </c>
      <c r="J45" s="183">
        <f ca="1">SUMIFS(OFFSET('BPC Data'!$F:$F,0,Summary!J$2),'BPC Data'!$E:$E,Summary!$D45,'BPC Data'!$B:$B,Summary!$C45)</f>
        <v>1098473</v>
      </c>
      <c r="K45" s="19">
        <f ca="1">SUMIFS(OFFSET('BPC Data'!$F:$F,0,Summary!K$2),'BPC Data'!$E:$E,Summary!$D45,'BPC Data'!$B:$B,Summary!$C45)</f>
        <v>850276</v>
      </c>
      <c r="L45" s="183">
        <f ca="1">SUMIFS(OFFSET('BPC Data'!$F:$F,0,Summary!L$2),'BPC Data'!$E:$E,Summary!$D45,'BPC Data'!$B:$B,Summary!$C45)</f>
        <v>810230</v>
      </c>
      <c r="M45" s="19">
        <f ca="1">SUMIFS(OFFSET('BPC Data'!$F:$F,0,Summary!M$2),'BPC Data'!$E:$E,Summary!$D45,'BPC Data'!$B:$B,Summary!$C45)</f>
        <v>957130</v>
      </c>
      <c r="N45" s="183">
        <f ca="1">SUMIFS(OFFSET('BPC Data'!$F:$F,0,Summary!N$2),'BPC Data'!$E:$E,Summary!$D45,'BPC Data'!$B:$B,Summary!$C45)</f>
        <v>791860</v>
      </c>
      <c r="O45" s="19">
        <f ca="1">SUMIFS(OFFSET('BPC Data'!$F:$F,0,Summary!O$2),'BPC Data'!$E:$E,Summary!$D45,'BPC Data'!$B:$B,Summary!$C45)</f>
        <v>800646</v>
      </c>
      <c r="P45" s="183">
        <f ca="1">SUMIFS(OFFSET('BPC Data'!$F:$F,0,Summary!P$2),'BPC Data'!$E:$E,Summary!$D45,'BPC Data'!$B:$B,Summary!$C45)</f>
        <v>768604</v>
      </c>
      <c r="Q45" s="19">
        <f ca="1">SUMIFS(OFFSET('BPC Data'!$F:$F,0,Summary!Q$2),'BPC Data'!$E:$E,Summary!$D45,'BPC Data'!$B:$B,Summary!$C45)</f>
        <v>813469</v>
      </c>
      <c r="R45" s="183">
        <f ca="1">SUMIFS(OFFSET('BPC Data'!$F:$F,0,Summary!R$2),'BPC Data'!$E:$E,Summary!$D45,'BPC Data'!$B:$B,Summary!$C45)</f>
        <v>900653</v>
      </c>
      <c r="S45" s="187">
        <f t="shared" ca="1" si="20"/>
        <v>10163111</v>
      </c>
      <c r="T45" s="181"/>
    </row>
    <row r="46" spans="1:20" s="17" customFormat="1" x14ac:dyDescent="0.25">
      <c r="A46" s="17">
        <f t="shared" si="30"/>
        <v>4</v>
      </c>
      <c r="B46"/>
      <c r="C46" t="str">
        <f>$F42</f>
        <v>SHC of Savannah</v>
      </c>
      <c r="D46" s="3" t="str">
        <f t="shared" si="24"/>
        <v>T_OPEX - Tenant Operating Expenses</v>
      </c>
      <c r="E46"/>
      <c r="F46" s="24" t="str">
        <f>_xll.EVDES(D46)</f>
        <v>Tenant Operating Expenses</v>
      </c>
      <c r="G46" s="19">
        <f ca="1">SUMIFS(OFFSET('BPC Data'!$F:$F,0,Summary!G$2),'BPC Data'!$E:$E,Summary!$D46,'BPC Data'!$B:$B,Summary!$C46)</f>
        <v>811483</v>
      </c>
      <c r="H46" s="183">
        <f ca="1">SUMIFS(OFFSET('BPC Data'!$F:$F,0,Summary!H$2),'BPC Data'!$E:$E,Summary!$D46,'BPC Data'!$B:$B,Summary!$C46)</f>
        <v>811272</v>
      </c>
      <c r="I46" s="19">
        <f ca="1">SUMIFS(OFFSET('BPC Data'!$F:$F,0,Summary!I$2),'BPC Data'!$E:$E,Summary!$D46,'BPC Data'!$B:$B,Summary!$C46)</f>
        <v>945169</v>
      </c>
      <c r="J46" s="183">
        <f ca="1">SUMIFS(OFFSET('BPC Data'!$F:$F,0,Summary!J$2),'BPC Data'!$E:$E,Summary!$D46,'BPC Data'!$B:$B,Summary!$C46)</f>
        <v>972295</v>
      </c>
      <c r="K46" s="19">
        <f ca="1">SUMIFS(OFFSET('BPC Data'!$F:$F,0,Summary!K$2),'BPC Data'!$E:$E,Summary!$D46,'BPC Data'!$B:$B,Summary!$C46)</f>
        <v>762430</v>
      </c>
      <c r="L46" s="183">
        <f ca="1">SUMIFS(OFFSET('BPC Data'!$F:$F,0,Summary!L$2),'BPC Data'!$E:$E,Summary!$D46,'BPC Data'!$B:$B,Summary!$C46)</f>
        <v>706547</v>
      </c>
      <c r="M46" s="19">
        <f ca="1">SUMIFS(OFFSET('BPC Data'!$F:$F,0,Summary!M$2),'BPC Data'!$E:$E,Summary!$D46,'BPC Data'!$B:$B,Summary!$C46)</f>
        <v>656676</v>
      </c>
      <c r="N46" s="183">
        <f ca="1">SUMIFS(OFFSET('BPC Data'!$F:$F,0,Summary!N$2),'BPC Data'!$E:$E,Summary!$D46,'BPC Data'!$B:$B,Summary!$C46)</f>
        <v>667699</v>
      </c>
      <c r="O46" s="19">
        <f ca="1">SUMIFS(OFFSET('BPC Data'!$F:$F,0,Summary!O$2),'BPC Data'!$E:$E,Summary!$D46,'BPC Data'!$B:$B,Summary!$C46)</f>
        <v>682574</v>
      </c>
      <c r="P46" s="183">
        <f ca="1">SUMIFS(OFFSET('BPC Data'!$F:$F,0,Summary!P$2),'BPC Data'!$E:$E,Summary!$D46,'BPC Data'!$B:$B,Summary!$C46)</f>
        <v>692096</v>
      </c>
      <c r="Q46" s="19">
        <f ca="1">SUMIFS(OFFSET('BPC Data'!$F:$F,0,Summary!Q$2),'BPC Data'!$E:$E,Summary!$D46,'BPC Data'!$B:$B,Summary!$C46)</f>
        <v>749635</v>
      </c>
      <c r="R46" s="183">
        <f ca="1">SUMIFS(OFFSET('BPC Data'!$F:$F,0,Summary!R$2),'BPC Data'!$E:$E,Summary!$D46,'BPC Data'!$B:$B,Summary!$C46)</f>
        <v>806901</v>
      </c>
      <c r="S46" s="187">
        <f t="shared" ca="1" si="20"/>
        <v>9264777</v>
      </c>
      <c r="T46" s="181"/>
    </row>
    <row r="47" spans="1:20" s="17" customFormat="1" x14ac:dyDescent="0.25">
      <c r="A47" s="17">
        <f t="shared" si="30"/>
        <v>4</v>
      </c>
      <c r="B47"/>
      <c r="C47" t="str">
        <f>$F42</f>
        <v>SHC of Savannah</v>
      </c>
      <c r="D47" s="3" t="str">
        <f t="shared" si="24"/>
        <v>T_BAD_DEBT - Tenant Bad Debt Expense</v>
      </c>
      <c r="E47"/>
      <c r="F47" s="24" t="str">
        <f>_xll.EVDES(D47)</f>
        <v>Tenant Bad Debt Expense</v>
      </c>
      <c r="G47" s="19">
        <f ca="1">SUMIFS(OFFSET('BPC Data'!$F:$F,0,Summary!G$2),'BPC Data'!$E:$E,Summary!$D47,'BPC Data'!$B:$B,Summary!$C47)</f>
        <v>79824</v>
      </c>
      <c r="H47" s="183">
        <f ca="1">SUMIFS(OFFSET('BPC Data'!$F:$F,0,Summary!H$2),'BPC Data'!$E:$E,Summary!$D47,'BPC Data'!$B:$B,Summary!$C47)</f>
        <v>31884</v>
      </c>
      <c r="I47" s="19">
        <f ca="1">SUMIFS(OFFSET('BPC Data'!$F:$F,0,Summary!I$2),'BPC Data'!$E:$E,Summary!$D47,'BPC Data'!$B:$B,Summary!$C47)</f>
        <v>27549</v>
      </c>
      <c r="J47" s="183">
        <f ca="1">SUMIFS(OFFSET('BPC Data'!$F:$F,0,Summary!J$2),'BPC Data'!$E:$E,Summary!$D47,'BPC Data'!$B:$B,Summary!$C47)</f>
        <v>42447</v>
      </c>
      <c r="K47" s="19">
        <f ca="1">SUMIFS(OFFSET('BPC Data'!$F:$F,0,Summary!K$2),'BPC Data'!$E:$E,Summary!$D47,'BPC Data'!$B:$B,Summary!$C47)</f>
        <v>28057</v>
      </c>
      <c r="L47" s="183">
        <f ca="1">SUMIFS(OFFSET('BPC Data'!$F:$F,0,Summary!L$2),'BPC Data'!$E:$E,Summary!$D47,'BPC Data'!$B:$B,Summary!$C47)</f>
        <v>28456</v>
      </c>
      <c r="M47" s="19">
        <f ca="1">SUMIFS(OFFSET('BPC Data'!$F:$F,0,Summary!M$2),'BPC Data'!$E:$E,Summary!$D47,'BPC Data'!$B:$B,Summary!$C47)</f>
        <v>0</v>
      </c>
      <c r="N47" s="183">
        <f ca="1">SUMIFS(OFFSET('BPC Data'!$F:$F,0,Summary!N$2),'BPC Data'!$E:$E,Summary!$D47,'BPC Data'!$B:$B,Summary!$C47)</f>
        <v>0</v>
      </c>
      <c r="O47" s="19">
        <f ca="1">SUMIFS(OFFSET('BPC Data'!$F:$F,0,Summary!O$2),'BPC Data'!$E:$E,Summary!$D47,'BPC Data'!$B:$B,Summary!$C47)</f>
        <v>0</v>
      </c>
      <c r="P47" s="183">
        <f ca="1">SUMIFS(OFFSET('BPC Data'!$F:$F,0,Summary!P$2),'BPC Data'!$E:$E,Summary!$D47,'BPC Data'!$B:$B,Summary!$C47)</f>
        <v>0</v>
      </c>
      <c r="Q47" s="19">
        <f ca="1">SUMIFS(OFFSET('BPC Data'!$F:$F,0,Summary!Q$2),'BPC Data'!$E:$E,Summary!$D47,'BPC Data'!$B:$B,Summary!$C47)</f>
        <v>10838</v>
      </c>
      <c r="R47" s="183">
        <f ca="1">SUMIFS(OFFSET('BPC Data'!$F:$F,0,Summary!R$2),'BPC Data'!$E:$E,Summary!$D47,'BPC Data'!$B:$B,Summary!$C47)</f>
        <v>5000</v>
      </c>
      <c r="S47" s="187">
        <f t="shared" ca="1" si="20"/>
        <v>254055</v>
      </c>
      <c r="T47" s="181"/>
    </row>
    <row r="48" spans="1:20" s="17" customFormat="1" x14ac:dyDescent="0.25">
      <c r="A48" s="17">
        <f t="shared" si="30"/>
        <v>4</v>
      </c>
      <c r="B48"/>
      <c r="C48" t="str">
        <f>$F42</f>
        <v>SHC of Savannah</v>
      </c>
      <c r="D48" s="2" t="str">
        <f t="shared" si="24"/>
        <v>T_EBITDARM - EBITDARM</v>
      </c>
      <c r="E48"/>
      <c r="F48" s="24" t="str">
        <f>_xll.EVDES(D48)</f>
        <v>EBITDARM</v>
      </c>
      <c r="G48" s="19">
        <f ca="1">SUMIFS(OFFSET('BPC Data'!$F:$F,0,Summary!G$2),'BPC Data'!$E:$E,Summary!$D48,'BPC Data'!$B:$B,Summary!$C48)</f>
        <v>-12537</v>
      </c>
      <c r="H48" s="183">
        <f ca="1">SUMIFS(OFFSET('BPC Data'!$F:$F,0,Summary!H$2),'BPC Data'!$E:$E,Summary!$D48,'BPC Data'!$B:$B,Summary!$C48)</f>
        <v>-54723</v>
      </c>
      <c r="I48" s="19">
        <f ca="1">SUMIFS(OFFSET('BPC Data'!$F:$F,0,Summary!I$2),'BPC Data'!$E:$E,Summary!$D48,'BPC Data'!$B:$B,Summary!$C48)</f>
        <v>-128894</v>
      </c>
      <c r="J48" s="183">
        <f ca="1">SUMIFS(OFFSET('BPC Data'!$F:$F,0,Summary!J$2),'BPC Data'!$E:$E,Summary!$D48,'BPC Data'!$B:$B,Summary!$C48)</f>
        <v>126178</v>
      </c>
      <c r="K48" s="19">
        <f ca="1">SUMIFS(OFFSET('BPC Data'!$F:$F,0,Summary!K$2),'BPC Data'!$E:$E,Summary!$D48,'BPC Data'!$B:$B,Summary!$C48)</f>
        <v>87846</v>
      </c>
      <c r="L48" s="183">
        <f ca="1">SUMIFS(OFFSET('BPC Data'!$F:$F,0,Summary!L$2),'BPC Data'!$E:$E,Summary!$D48,'BPC Data'!$B:$B,Summary!$C48)</f>
        <v>103683</v>
      </c>
      <c r="M48" s="19">
        <f ca="1">SUMIFS(OFFSET('BPC Data'!$F:$F,0,Summary!M$2),'BPC Data'!$E:$E,Summary!$D48,'BPC Data'!$B:$B,Summary!$C48)</f>
        <v>300454</v>
      </c>
      <c r="N48" s="183">
        <f ca="1">SUMIFS(OFFSET('BPC Data'!$F:$F,0,Summary!N$2),'BPC Data'!$E:$E,Summary!$D48,'BPC Data'!$B:$B,Summary!$C48)</f>
        <v>124161</v>
      </c>
      <c r="O48" s="19">
        <f ca="1">SUMIFS(OFFSET('BPC Data'!$F:$F,0,Summary!O$2),'BPC Data'!$E:$E,Summary!$D48,'BPC Data'!$B:$B,Summary!$C48)</f>
        <v>118072</v>
      </c>
      <c r="P48" s="183">
        <f ca="1">SUMIFS(OFFSET('BPC Data'!$F:$F,0,Summary!P$2),'BPC Data'!$E:$E,Summary!$D48,'BPC Data'!$B:$B,Summary!$C48)</f>
        <v>76508</v>
      </c>
      <c r="Q48" s="19">
        <f ca="1">SUMIFS(OFFSET('BPC Data'!$F:$F,0,Summary!Q$2),'BPC Data'!$E:$E,Summary!$D48,'BPC Data'!$B:$B,Summary!$C48)</f>
        <v>63834</v>
      </c>
      <c r="R48" s="183">
        <f ca="1">SUMIFS(OFFSET('BPC Data'!$F:$F,0,Summary!R$2),'BPC Data'!$E:$E,Summary!$D48,'BPC Data'!$B:$B,Summary!$C48)</f>
        <v>93752</v>
      </c>
      <c r="S48" s="187">
        <f t="shared" ca="1" si="20"/>
        <v>898334</v>
      </c>
      <c r="T48" s="181"/>
    </row>
    <row r="49" spans="1:20" s="17" customFormat="1" x14ac:dyDescent="0.25">
      <c r="A49" s="17">
        <f t="shared" si="30"/>
        <v>4</v>
      </c>
      <c r="B49"/>
      <c r="C49" t="str">
        <f>$F42</f>
        <v>SHC of Savannah</v>
      </c>
      <c r="D49" s="2" t="str">
        <f t="shared" si="24"/>
        <v>T_MGMT_FEE - Tenant Management Fee - Actual</v>
      </c>
      <c r="E49"/>
      <c r="F49" s="24" t="str">
        <f>_xll.EVDES(D49)</f>
        <v>Tenant Management Fee - Actual</v>
      </c>
      <c r="G49" s="19">
        <f ca="1">SUMIFS(OFFSET('BPC Data'!$F:$F,0,Summary!G$2),'BPC Data'!$E:$E,Summary!$D49,'BPC Data'!$B:$B,Summary!$C49)</f>
        <v>40209</v>
      </c>
      <c r="H49" s="183">
        <f ca="1">SUMIFS(OFFSET('BPC Data'!$F:$F,0,Summary!H$2),'BPC Data'!$E:$E,Summary!$D49,'BPC Data'!$B:$B,Summary!$C49)</f>
        <v>38206</v>
      </c>
      <c r="I49" s="19">
        <f ca="1">SUMIFS(OFFSET('BPC Data'!$F:$F,0,Summary!I$2),'BPC Data'!$E:$E,Summary!$D49,'BPC Data'!$B:$B,Summary!$C49)</f>
        <v>41222</v>
      </c>
      <c r="J49" s="183">
        <f ca="1">SUMIFS(OFFSET('BPC Data'!$F:$F,0,Summary!J$2),'BPC Data'!$E:$E,Summary!$D49,'BPC Data'!$B:$B,Summary!$C49)</f>
        <v>56349</v>
      </c>
      <c r="K49" s="19">
        <f ca="1">SUMIFS(OFFSET('BPC Data'!$F:$F,0,Summary!K$2),'BPC Data'!$E:$E,Summary!$D49,'BPC Data'!$B:$B,Summary!$C49)</f>
        <v>42939</v>
      </c>
      <c r="L49" s="183">
        <f ca="1">SUMIFS(OFFSET('BPC Data'!$F:$F,0,Summary!L$2),'BPC Data'!$E:$E,Summary!$D49,'BPC Data'!$B:$B,Summary!$C49)</f>
        <v>40917</v>
      </c>
      <c r="M49" s="19">
        <f ca="1">SUMIFS(OFFSET('BPC Data'!$F:$F,0,Summary!M$2),'BPC Data'!$E:$E,Summary!$D49,'BPC Data'!$B:$B,Summary!$C49)</f>
        <v>48335</v>
      </c>
      <c r="N49" s="183">
        <f ca="1">SUMIFS(OFFSET('BPC Data'!$F:$F,0,Summary!N$2),'BPC Data'!$E:$E,Summary!$D49,'BPC Data'!$B:$B,Summary!$C49)</f>
        <v>39989</v>
      </c>
      <c r="O49" s="19">
        <f ca="1">SUMIFS(OFFSET('BPC Data'!$F:$F,0,Summary!O$2),'BPC Data'!$E:$E,Summary!$D49,'BPC Data'!$B:$B,Summary!$C49)</f>
        <v>40433</v>
      </c>
      <c r="P49" s="183">
        <f ca="1">SUMIFS(OFFSET('BPC Data'!$F:$F,0,Summary!P$2),'BPC Data'!$E:$E,Summary!$D49,'BPC Data'!$B:$B,Summary!$C49)</f>
        <v>38815</v>
      </c>
      <c r="Q49" s="19">
        <f ca="1">SUMIFS(OFFSET('BPC Data'!$F:$F,0,Summary!Q$2),'BPC Data'!$E:$E,Summary!$D49,'BPC Data'!$B:$B,Summary!$C49)</f>
        <v>41080</v>
      </c>
      <c r="R49" s="183">
        <f ca="1">SUMIFS(OFFSET('BPC Data'!$F:$F,0,Summary!R$2),'BPC Data'!$E:$E,Summary!$D49,'BPC Data'!$B:$B,Summary!$C49)</f>
        <v>45483</v>
      </c>
      <c r="S49" s="187">
        <f t="shared" ca="1" si="20"/>
        <v>513977</v>
      </c>
      <c r="T49" s="181"/>
    </row>
    <row r="50" spans="1:20" s="17" customFormat="1" x14ac:dyDescent="0.25">
      <c r="A50" s="17">
        <f t="shared" si="30"/>
        <v>4</v>
      </c>
      <c r="B50"/>
      <c r="C50" t="str">
        <f>$F42</f>
        <v>SHC of Savannah</v>
      </c>
      <c r="D50" s="1" t="str">
        <f t="shared" si="24"/>
        <v>T_EBITDAR - EBITDAR</v>
      </c>
      <c r="E50"/>
      <c r="F50" s="24" t="str">
        <f>_xll.EVDES(D50)</f>
        <v>EBITDAR</v>
      </c>
      <c r="G50" s="19">
        <f ca="1">SUMIFS(OFFSET('BPC Data'!$F:$F,0,Summary!G$2),'BPC Data'!$E:$E,Summary!$D50,'BPC Data'!$B:$B,Summary!$C50)</f>
        <v>-52746</v>
      </c>
      <c r="H50" s="183">
        <f ca="1">SUMIFS(OFFSET('BPC Data'!$F:$F,0,Summary!H$2),'BPC Data'!$E:$E,Summary!$D50,'BPC Data'!$B:$B,Summary!$C50)</f>
        <v>-92929</v>
      </c>
      <c r="I50" s="19">
        <f ca="1">SUMIFS(OFFSET('BPC Data'!$F:$F,0,Summary!I$2),'BPC Data'!$E:$E,Summary!$D50,'BPC Data'!$B:$B,Summary!$C50)</f>
        <v>-170116</v>
      </c>
      <c r="J50" s="183">
        <f ca="1">SUMIFS(OFFSET('BPC Data'!$F:$F,0,Summary!J$2),'BPC Data'!$E:$E,Summary!$D50,'BPC Data'!$B:$B,Summary!$C50)</f>
        <v>69829</v>
      </c>
      <c r="K50" s="19">
        <f ca="1">SUMIFS(OFFSET('BPC Data'!$F:$F,0,Summary!K$2),'BPC Data'!$E:$E,Summary!$D50,'BPC Data'!$B:$B,Summary!$C50)</f>
        <v>44907</v>
      </c>
      <c r="L50" s="183">
        <f ca="1">SUMIFS(OFFSET('BPC Data'!$F:$F,0,Summary!L$2),'BPC Data'!$E:$E,Summary!$D50,'BPC Data'!$B:$B,Summary!$C50)</f>
        <v>62766</v>
      </c>
      <c r="M50" s="19">
        <f ca="1">SUMIFS(OFFSET('BPC Data'!$F:$F,0,Summary!M$2),'BPC Data'!$E:$E,Summary!$D50,'BPC Data'!$B:$B,Summary!$C50)</f>
        <v>252119</v>
      </c>
      <c r="N50" s="183">
        <f ca="1">SUMIFS(OFFSET('BPC Data'!$F:$F,0,Summary!N$2),'BPC Data'!$E:$E,Summary!$D50,'BPC Data'!$B:$B,Summary!$C50)</f>
        <v>84172</v>
      </c>
      <c r="O50" s="19">
        <f ca="1">SUMIFS(OFFSET('BPC Data'!$F:$F,0,Summary!O$2),'BPC Data'!$E:$E,Summary!$D50,'BPC Data'!$B:$B,Summary!$C50)</f>
        <v>77639</v>
      </c>
      <c r="P50" s="183">
        <f ca="1">SUMIFS(OFFSET('BPC Data'!$F:$F,0,Summary!P$2),'BPC Data'!$E:$E,Summary!$D50,'BPC Data'!$B:$B,Summary!$C50)</f>
        <v>37693</v>
      </c>
      <c r="Q50" s="19">
        <f ca="1">SUMIFS(OFFSET('BPC Data'!$F:$F,0,Summary!Q$2),'BPC Data'!$E:$E,Summary!$D50,'BPC Data'!$B:$B,Summary!$C50)</f>
        <v>22754</v>
      </c>
      <c r="R50" s="183">
        <f ca="1">SUMIFS(OFFSET('BPC Data'!$F:$F,0,Summary!R$2),'BPC Data'!$E:$E,Summary!$D50,'BPC Data'!$B:$B,Summary!$C50)</f>
        <v>48269</v>
      </c>
      <c r="S50" s="187">
        <f t="shared" ca="1" si="20"/>
        <v>384357</v>
      </c>
      <c r="T50" s="181"/>
    </row>
    <row r="51" spans="1:20" s="17" customFormat="1" x14ac:dyDescent="0.25">
      <c r="A51" s="17">
        <f t="shared" si="30"/>
        <v>4</v>
      </c>
      <c r="B51"/>
      <c r="C51" t="str">
        <f>$F42</f>
        <v>SHC of Savannah</v>
      </c>
      <c r="D51" s="1" t="str">
        <f t="shared" si="24"/>
        <v>T_RENT_EXP - Tenant Rent Expense</v>
      </c>
      <c r="E51"/>
      <c r="F51" s="24" t="str">
        <f>_xll.EVDES(D51)</f>
        <v>Tenant Rent Expense</v>
      </c>
      <c r="G51" s="19">
        <f ca="1">SUMIFS(OFFSET('BPC Data'!$F:$F,0,Summary!G$2),'BPC Data'!$E:$E,Summary!$D51,'BPC Data'!$B:$B,Summary!$C51)</f>
        <v>5253</v>
      </c>
      <c r="H51" s="183">
        <f ca="1">SUMIFS(OFFSET('BPC Data'!$F:$F,0,Summary!H$2),'BPC Data'!$E:$E,Summary!$D51,'BPC Data'!$B:$B,Summary!$C51)</f>
        <v>5253</v>
      </c>
      <c r="I51" s="19">
        <f ca="1">SUMIFS(OFFSET('BPC Data'!$F:$F,0,Summary!I$2),'BPC Data'!$E:$E,Summary!$D51,'BPC Data'!$B:$B,Summary!$C51)</f>
        <v>5253</v>
      </c>
      <c r="J51" s="183">
        <f ca="1">SUMIFS(OFFSET('BPC Data'!$F:$F,0,Summary!J$2),'BPC Data'!$E:$E,Summary!$D51,'BPC Data'!$B:$B,Summary!$C51)</f>
        <v>5384</v>
      </c>
      <c r="K51" s="19">
        <f ca="1">SUMIFS(OFFSET('BPC Data'!$F:$F,0,Summary!K$2),'BPC Data'!$E:$E,Summary!$D51,'BPC Data'!$B:$B,Summary!$C51)</f>
        <v>5384</v>
      </c>
      <c r="L51" s="183">
        <f ca="1">SUMIFS(OFFSET('BPC Data'!$F:$F,0,Summary!L$2),'BPC Data'!$E:$E,Summary!$D51,'BPC Data'!$B:$B,Summary!$C51)</f>
        <v>5384</v>
      </c>
      <c r="M51" s="19">
        <f ca="1">SUMIFS(OFFSET('BPC Data'!$F:$F,0,Summary!M$2),'BPC Data'!$E:$E,Summary!$D51,'BPC Data'!$B:$B,Summary!$C51)</f>
        <v>5384</v>
      </c>
      <c r="N51" s="183">
        <f ca="1">SUMIFS(OFFSET('BPC Data'!$F:$F,0,Summary!N$2),'BPC Data'!$E:$E,Summary!$D51,'BPC Data'!$B:$B,Summary!$C51)</f>
        <v>5384</v>
      </c>
      <c r="O51" s="19">
        <f ca="1">SUMIFS(OFFSET('BPC Data'!$F:$F,0,Summary!O$2),'BPC Data'!$E:$E,Summary!$D51,'BPC Data'!$B:$B,Summary!$C51)</f>
        <v>5384</v>
      </c>
      <c r="P51" s="183">
        <f ca="1">SUMIFS(OFFSET('BPC Data'!$F:$F,0,Summary!P$2),'BPC Data'!$E:$E,Summary!$D51,'BPC Data'!$B:$B,Summary!$C51)</f>
        <v>5384</v>
      </c>
      <c r="Q51" s="19">
        <f ca="1">SUMIFS(OFFSET('BPC Data'!$F:$F,0,Summary!Q$2),'BPC Data'!$E:$E,Summary!$D51,'BPC Data'!$B:$B,Summary!$C51)</f>
        <v>5384</v>
      </c>
      <c r="R51" s="183">
        <f ca="1">SUMIFS(OFFSET('BPC Data'!$F:$F,0,Summary!R$2),'BPC Data'!$E:$E,Summary!$D51,'BPC Data'!$B:$B,Summary!$C51)</f>
        <v>5384</v>
      </c>
      <c r="S51" s="187">
        <f t="shared" ca="1" si="20"/>
        <v>64215</v>
      </c>
      <c r="T51" s="181"/>
    </row>
    <row r="52" spans="1:20" s="17" customFormat="1" x14ac:dyDescent="0.25">
      <c r="A52" s="17">
        <f t="shared" si="30"/>
        <v>4</v>
      </c>
      <c r="B52"/>
      <c r="C52"/>
      <c r="D52" s="1" t="str">
        <f t="shared" si="24"/>
        <v>x</v>
      </c>
      <c r="E52"/>
      <c r="F52" s="24" t="s">
        <v>0</v>
      </c>
      <c r="G52" s="12">
        <f ca="1">G50/G51</f>
        <v>-10.041119360365505</v>
      </c>
      <c r="H52" s="184">
        <f t="shared" ref="H52:I52" ca="1" si="31">H50/H51</f>
        <v>-17.69065296021321</v>
      </c>
      <c r="I52" s="12">
        <f t="shared" ca="1" si="31"/>
        <v>-32.384542166381117</v>
      </c>
      <c r="J52" s="184">
        <f t="shared" ref="J52:R52" ca="1" si="32">J50/J51</f>
        <v>12.969725111441308</v>
      </c>
      <c r="K52" s="12">
        <f t="shared" ca="1" si="32"/>
        <v>8.3408246656760774</v>
      </c>
      <c r="L52" s="184">
        <f t="shared" ca="1" si="32"/>
        <v>11.657875185735513</v>
      </c>
      <c r="M52" s="12">
        <f t="shared" ca="1" si="32"/>
        <v>46.827451708766716</v>
      </c>
      <c r="N52" s="184">
        <f t="shared" ca="1" si="32"/>
        <v>15.63372956909361</v>
      </c>
      <c r="O52" s="12">
        <f t="shared" ca="1" si="32"/>
        <v>14.420319465081723</v>
      </c>
      <c r="P52" s="184">
        <f t="shared" ca="1" si="32"/>
        <v>7.0009286775631505</v>
      </c>
      <c r="Q52" s="12">
        <f t="shared" ca="1" si="32"/>
        <v>4.2262258543833582</v>
      </c>
      <c r="R52" s="184">
        <f t="shared" ca="1" si="32"/>
        <v>8.9652674591381878</v>
      </c>
      <c r="S52" s="187">
        <f t="shared" ca="1" si="20"/>
        <v>69.926033209919808</v>
      </c>
      <c r="T52" s="181"/>
    </row>
    <row r="53" spans="1:20" s="17" customFormat="1" x14ac:dyDescent="0.25">
      <c r="A53" s="17">
        <f>IF(AND(D53&lt;&gt;"",C53=""),A52+1,A52)</f>
        <v>5</v>
      </c>
      <c r="B53" s="5"/>
      <c r="C53" s="5"/>
      <c r="D53" s="5" t="str">
        <f t="shared" si="24"/>
        <v>x</v>
      </c>
      <c r="E53" s="5"/>
      <c r="F53" s="23" t="str">
        <f>INDEX(PropertyList!$D:$D,MATCH(Summary!$A53,PropertyList!$C:$C,0))</f>
        <v>SHC of Bowling Green</v>
      </c>
      <c r="G53" s="11"/>
      <c r="H53" s="182"/>
      <c r="I53" s="11"/>
      <c r="J53" s="182"/>
      <c r="K53" s="11"/>
      <c r="L53" s="182"/>
      <c r="M53" s="11"/>
      <c r="N53" s="182"/>
      <c r="O53" s="11"/>
      <c r="P53" s="182"/>
      <c r="Q53" s="11"/>
      <c r="R53" s="182"/>
      <c r="S53" s="187">
        <f t="shared" si="20"/>
        <v>0</v>
      </c>
      <c r="T53" s="181"/>
    </row>
    <row r="54" spans="1:20" s="17" customFormat="1" x14ac:dyDescent="0.25">
      <c r="A54" s="17">
        <f>IF(AND(F54&lt;&gt;"",D54=""),A53+1,A53)</f>
        <v>5</v>
      </c>
      <c r="C54" t="str">
        <f>$F53</f>
        <v>SHC of Bowling Green</v>
      </c>
      <c r="D54" s="3" t="str">
        <f t="shared" si="24"/>
        <v>PAY_PAT_DAYS - Total Payor Patient Days</v>
      </c>
      <c r="F54" s="24" t="str">
        <f>_xll.EVDES(D54)</f>
        <v>Total Payor Patient Days</v>
      </c>
      <c r="G54" s="12">
        <f ca="1">SUMIFS(OFFSET('BPC Data'!$F:$F,0,Summary!G$2),'BPC Data'!$E:$E,Summary!$D54,'BPC Data'!$B:$B,Summary!$C54)</f>
        <v>4248</v>
      </c>
      <c r="H54" s="184">
        <f ca="1">SUMIFS(OFFSET('BPC Data'!$F:$F,0,Summary!H$2),'BPC Data'!$E:$E,Summary!$D54,'BPC Data'!$B:$B,Summary!$C54)</f>
        <v>4188</v>
      </c>
      <c r="I54" s="12">
        <f ca="1">SUMIFS(OFFSET('BPC Data'!$F:$F,0,Summary!I$2),'BPC Data'!$E:$E,Summary!$D54,'BPC Data'!$B:$B,Summary!$C54)</f>
        <v>3541</v>
      </c>
      <c r="J54" s="184">
        <f ca="1">SUMIFS(OFFSET('BPC Data'!$F:$F,0,Summary!J$2),'BPC Data'!$E:$E,Summary!$D54,'BPC Data'!$B:$B,Summary!$C54)</f>
        <v>3558</v>
      </c>
      <c r="K54" s="12">
        <f ca="1">SUMIFS(OFFSET('BPC Data'!$F:$F,0,Summary!K$2),'BPC Data'!$E:$E,Summary!$D54,'BPC Data'!$B:$B,Summary!$C54)</f>
        <v>4046</v>
      </c>
      <c r="L54" s="184">
        <f ca="1">SUMIFS(OFFSET('BPC Data'!$F:$F,0,Summary!L$2),'BPC Data'!$E:$E,Summary!$D54,'BPC Data'!$B:$B,Summary!$C54)</f>
        <v>3687</v>
      </c>
      <c r="M54" s="12">
        <f ca="1">SUMIFS(OFFSET('BPC Data'!$F:$F,0,Summary!M$2),'BPC Data'!$E:$E,Summary!$D54,'BPC Data'!$B:$B,Summary!$C54)</f>
        <v>3965</v>
      </c>
      <c r="N54" s="184">
        <f ca="1">SUMIFS(OFFSET('BPC Data'!$F:$F,0,Summary!N$2),'BPC Data'!$E:$E,Summary!$D54,'BPC Data'!$B:$B,Summary!$C54)</f>
        <v>3964</v>
      </c>
      <c r="O54" s="12">
        <f ca="1">SUMIFS(OFFSET('BPC Data'!$F:$F,0,Summary!O$2),'BPC Data'!$E:$E,Summary!$D54,'BPC Data'!$B:$B,Summary!$C54)</f>
        <v>4032</v>
      </c>
      <c r="P54" s="184">
        <f ca="1">SUMIFS(OFFSET('BPC Data'!$F:$F,0,Summary!P$2),'BPC Data'!$E:$E,Summary!$D54,'BPC Data'!$B:$B,Summary!$C54)</f>
        <v>3834</v>
      </c>
      <c r="Q54" s="12">
        <f ca="1">SUMIFS(OFFSET('BPC Data'!$F:$F,0,Summary!Q$2),'BPC Data'!$E:$E,Summary!$D54,'BPC Data'!$B:$B,Summary!$C54)</f>
        <v>4094</v>
      </c>
      <c r="R54" s="184">
        <f ca="1">SUMIFS(OFFSET('BPC Data'!$F:$F,0,Summary!R$2),'BPC Data'!$E:$E,Summary!$D54,'BPC Data'!$B:$B,Summary!$C54)</f>
        <v>4080</v>
      </c>
      <c r="S54" s="187">
        <f t="shared" ca="1" si="20"/>
        <v>47237</v>
      </c>
      <c r="T54" s="181"/>
    </row>
    <row r="55" spans="1:20" s="17" customFormat="1" x14ac:dyDescent="0.25">
      <c r="A55" s="17">
        <f t="shared" ref="A55:A63" si="33">IF(AND(F55&lt;&gt;"",D55=""),A54+1,A54)</f>
        <v>5</v>
      </c>
      <c r="C55" t="str">
        <f>$F53</f>
        <v>SHC of Bowling Green</v>
      </c>
      <c r="D55" s="3" t="str">
        <f t="shared" si="24"/>
        <v>A_BEDS_TOTAL - Total Available Beds</v>
      </c>
      <c r="F55" s="24" t="str">
        <f>_xll.EVDES(D55)</f>
        <v>Total Available Beds</v>
      </c>
      <c r="G55" s="12">
        <f ca="1">SUMIFS(OFFSET('BPC Data'!$F:$F,0,Summary!G$2),'BPC Data'!$E:$E,Summary!$D55,'BPC Data'!$B:$B,Summary!$C55)</f>
        <v>155</v>
      </c>
      <c r="H55" s="184">
        <f ca="1">SUMIFS(OFFSET('BPC Data'!$F:$F,0,Summary!H$2),'BPC Data'!$E:$E,Summary!$D55,'BPC Data'!$B:$B,Summary!$C55)</f>
        <v>155</v>
      </c>
      <c r="I55" s="12">
        <f ca="1">SUMIFS(OFFSET('BPC Data'!$F:$F,0,Summary!I$2),'BPC Data'!$E:$E,Summary!$D55,'BPC Data'!$B:$B,Summary!$C55)</f>
        <v>155</v>
      </c>
      <c r="J55" s="184">
        <f ca="1">SUMIFS(OFFSET('BPC Data'!$F:$F,0,Summary!J$2),'BPC Data'!$E:$E,Summary!$D55,'BPC Data'!$B:$B,Summary!$C55)</f>
        <v>155</v>
      </c>
      <c r="K55" s="12">
        <f ca="1">SUMIFS(OFFSET('BPC Data'!$F:$F,0,Summary!K$2),'BPC Data'!$E:$E,Summary!$D55,'BPC Data'!$B:$B,Summary!$C55)</f>
        <v>155</v>
      </c>
      <c r="L55" s="184">
        <f ca="1">SUMIFS(OFFSET('BPC Data'!$F:$F,0,Summary!L$2),'BPC Data'!$E:$E,Summary!$D55,'BPC Data'!$B:$B,Summary!$C55)</f>
        <v>155</v>
      </c>
      <c r="M55" s="12">
        <f ca="1">SUMIFS(OFFSET('BPC Data'!$F:$F,0,Summary!M$2),'BPC Data'!$E:$E,Summary!$D55,'BPC Data'!$B:$B,Summary!$C55)</f>
        <v>155</v>
      </c>
      <c r="N55" s="184">
        <f ca="1">SUMIFS(OFFSET('BPC Data'!$F:$F,0,Summary!N$2),'BPC Data'!$E:$E,Summary!$D55,'BPC Data'!$B:$B,Summary!$C55)</f>
        <v>155</v>
      </c>
      <c r="O55" s="12">
        <f ca="1">SUMIFS(OFFSET('BPC Data'!$F:$F,0,Summary!O$2),'BPC Data'!$E:$E,Summary!$D55,'BPC Data'!$B:$B,Summary!$C55)</f>
        <v>155</v>
      </c>
      <c r="P55" s="184">
        <f ca="1">SUMIFS(OFFSET('BPC Data'!$F:$F,0,Summary!P$2),'BPC Data'!$E:$E,Summary!$D55,'BPC Data'!$B:$B,Summary!$C55)</f>
        <v>155</v>
      </c>
      <c r="Q55" s="12">
        <f ca="1">SUMIFS(OFFSET('BPC Data'!$F:$F,0,Summary!Q$2),'BPC Data'!$E:$E,Summary!$D55,'BPC Data'!$B:$B,Summary!$C55)</f>
        <v>155</v>
      </c>
      <c r="R55" s="184">
        <f ca="1">SUMIFS(OFFSET('BPC Data'!$F:$F,0,Summary!R$2),'BPC Data'!$E:$E,Summary!$D55,'BPC Data'!$B:$B,Summary!$C55)</f>
        <v>155</v>
      </c>
      <c r="S55" s="187">
        <f ca="1">R55</f>
        <v>155</v>
      </c>
      <c r="T55" s="181"/>
    </row>
    <row r="56" spans="1:20" s="17" customFormat="1" x14ac:dyDescent="0.25">
      <c r="A56" s="17">
        <f t="shared" si="33"/>
        <v>5</v>
      </c>
      <c r="B56"/>
      <c r="C56" t="str">
        <f>$F53</f>
        <v>SHC of Bowling Green</v>
      </c>
      <c r="D56" s="3" t="str">
        <f t="shared" si="24"/>
        <v>T_REVENUES - Total Tenant Revenues</v>
      </c>
      <c r="E56"/>
      <c r="F56" s="24" t="str">
        <f>_xll.EVDES(D56)</f>
        <v>Total Tenant Revenues</v>
      </c>
      <c r="G56" s="12">
        <f ca="1">SUMIFS(OFFSET('BPC Data'!$F:$F,0,Summary!G$2),'BPC Data'!$E:$E,Summary!$D56,'BPC Data'!$B:$B,Summary!$C56)</f>
        <v>1151594</v>
      </c>
      <c r="H56" s="184">
        <f ca="1">SUMIFS(OFFSET('BPC Data'!$F:$F,0,Summary!H$2),'BPC Data'!$E:$E,Summary!$D56,'BPC Data'!$B:$B,Summary!$C56)</f>
        <v>1306529</v>
      </c>
      <c r="I56" s="12">
        <f ca="1">SUMIFS(OFFSET('BPC Data'!$F:$F,0,Summary!I$2),'BPC Data'!$E:$E,Summary!$D56,'BPC Data'!$B:$B,Summary!$C56)</f>
        <v>1505371</v>
      </c>
      <c r="J56" s="184">
        <f ca="1">SUMIFS(OFFSET('BPC Data'!$F:$F,0,Summary!J$2),'BPC Data'!$E:$E,Summary!$D56,'BPC Data'!$B:$B,Summary!$C56)</f>
        <v>839030</v>
      </c>
      <c r="K56" s="12">
        <f ca="1">SUMIFS(OFFSET('BPC Data'!$F:$F,0,Summary!K$2),'BPC Data'!$E:$E,Summary!$D56,'BPC Data'!$B:$B,Summary!$C56)</f>
        <v>1278797</v>
      </c>
      <c r="L56" s="184">
        <f ca="1">SUMIFS(OFFSET('BPC Data'!$F:$F,0,Summary!L$2),'BPC Data'!$E:$E,Summary!$D56,'BPC Data'!$B:$B,Summary!$C56)</f>
        <v>1135608</v>
      </c>
      <c r="M56" s="12">
        <f ca="1">SUMIFS(OFFSET('BPC Data'!$F:$F,0,Summary!M$2),'BPC Data'!$E:$E,Summary!$D56,'BPC Data'!$B:$B,Summary!$C56)</f>
        <v>1358526</v>
      </c>
      <c r="N56" s="184">
        <f ca="1">SUMIFS(OFFSET('BPC Data'!$F:$F,0,Summary!N$2),'BPC Data'!$E:$E,Summary!$D56,'BPC Data'!$B:$B,Summary!$C56)</f>
        <v>1173316</v>
      </c>
      <c r="O56" s="12">
        <f ca="1">SUMIFS(OFFSET('BPC Data'!$F:$F,0,Summary!O$2),'BPC Data'!$E:$E,Summary!$D56,'BPC Data'!$B:$B,Summary!$C56)</f>
        <v>1123172</v>
      </c>
      <c r="P56" s="184">
        <f ca="1">SUMIFS(OFFSET('BPC Data'!$F:$F,0,Summary!P$2),'BPC Data'!$E:$E,Summary!$D56,'BPC Data'!$B:$B,Summary!$C56)</f>
        <v>1080266</v>
      </c>
      <c r="Q56" s="12">
        <f ca="1">SUMIFS(OFFSET('BPC Data'!$F:$F,0,Summary!Q$2),'BPC Data'!$E:$E,Summary!$D56,'BPC Data'!$B:$B,Summary!$C56)</f>
        <v>1178961</v>
      </c>
      <c r="R56" s="184">
        <f ca="1">SUMIFS(OFFSET('BPC Data'!$F:$F,0,Summary!R$2),'BPC Data'!$E:$E,Summary!$D56,'BPC Data'!$B:$B,Summary!$C56)</f>
        <v>1203697</v>
      </c>
      <c r="S56" s="187">
        <f t="shared" ca="1" si="20"/>
        <v>14334867</v>
      </c>
      <c r="T56" s="181"/>
    </row>
    <row r="57" spans="1:20" s="17" customFormat="1" x14ac:dyDescent="0.25">
      <c r="A57" s="17">
        <f t="shared" si="33"/>
        <v>5</v>
      </c>
      <c r="B57"/>
      <c r="C57" t="str">
        <f>$F53</f>
        <v>SHC of Bowling Green</v>
      </c>
      <c r="D57" s="3" t="str">
        <f t="shared" si="24"/>
        <v>T_OPEX - Tenant Operating Expenses</v>
      </c>
      <c r="E57"/>
      <c r="F57" s="24" t="str">
        <f>_xll.EVDES(D57)</f>
        <v>Tenant Operating Expenses</v>
      </c>
      <c r="G57" s="12">
        <f ca="1">SUMIFS(OFFSET('BPC Data'!$F:$F,0,Summary!G$2),'BPC Data'!$E:$E,Summary!$D57,'BPC Data'!$B:$B,Summary!$C57)</f>
        <v>857139</v>
      </c>
      <c r="H57" s="184">
        <f ca="1">SUMIFS(OFFSET('BPC Data'!$F:$F,0,Summary!H$2),'BPC Data'!$E:$E,Summary!$D57,'BPC Data'!$B:$B,Summary!$C57)</f>
        <v>916654</v>
      </c>
      <c r="I57" s="12">
        <f ca="1">SUMIFS(OFFSET('BPC Data'!$F:$F,0,Summary!I$2),'BPC Data'!$E:$E,Summary!$D57,'BPC Data'!$B:$B,Summary!$C57)</f>
        <v>1098206</v>
      </c>
      <c r="J57" s="184">
        <f ca="1">SUMIFS(OFFSET('BPC Data'!$F:$F,0,Summary!J$2),'BPC Data'!$E:$E,Summary!$D57,'BPC Data'!$B:$B,Summary!$C57)</f>
        <v>1329619</v>
      </c>
      <c r="K57" s="12">
        <f ca="1">SUMIFS(OFFSET('BPC Data'!$F:$F,0,Summary!K$2),'BPC Data'!$E:$E,Summary!$D57,'BPC Data'!$B:$B,Summary!$C57)</f>
        <v>938921</v>
      </c>
      <c r="L57" s="184">
        <f ca="1">SUMIFS(OFFSET('BPC Data'!$F:$F,0,Summary!L$2),'BPC Data'!$E:$E,Summary!$D57,'BPC Data'!$B:$B,Summary!$C57)</f>
        <v>874596</v>
      </c>
      <c r="M57" s="12">
        <f ca="1">SUMIFS(OFFSET('BPC Data'!$F:$F,0,Summary!M$2),'BPC Data'!$E:$E,Summary!$D57,'BPC Data'!$B:$B,Summary!$C57)</f>
        <v>917242</v>
      </c>
      <c r="N57" s="184">
        <f ca="1">SUMIFS(OFFSET('BPC Data'!$F:$F,0,Summary!N$2),'BPC Data'!$E:$E,Summary!$D57,'BPC Data'!$B:$B,Summary!$C57)</f>
        <v>854117</v>
      </c>
      <c r="O57" s="12">
        <f ca="1">SUMIFS(OFFSET('BPC Data'!$F:$F,0,Summary!O$2),'BPC Data'!$E:$E,Summary!$D57,'BPC Data'!$B:$B,Summary!$C57)</f>
        <v>872930</v>
      </c>
      <c r="P57" s="184">
        <f ca="1">SUMIFS(OFFSET('BPC Data'!$F:$F,0,Summary!P$2),'BPC Data'!$E:$E,Summary!$D57,'BPC Data'!$B:$B,Summary!$C57)</f>
        <v>865740</v>
      </c>
      <c r="Q57" s="12">
        <f ca="1">SUMIFS(OFFSET('BPC Data'!$F:$F,0,Summary!Q$2),'BPC Data'!$E:$E,Summary!$D57,'BPC Data'!$B:$B,Summary!$C57)</f>
        <v>843850</v>
      </c>
      <c r="R57" s="184">
        <f ca="1">SUMIFS(OFFSET('BPC Data'!$F:$F,0,Summary!R$2),'BPC Data'!$E:$E,Summary!$D57,'BPC Data'!$B:$B,Summary!$C57)</f>
        <v>938822</v>
      </c>
      <c r="S57" s="187">
        <f t="shared" ca="1" si="20"/>
        <v>11307836</v>
      </c>
      <c r="T57" s="181"/>
    </row>
    <row r="58" spans="1:20" s="17" customFormat="1" x14ac:dyDescent="0.25">
      <c r="A58" s="17">
        <f t="shared" si="33"/>
        <v>5</v>
      </c>
      <c r="B58"/>
      <c r="C58" t="str">
        <f>$F53</f>
        <v>SHC of Bowling Green</v>
      </c>
      <c r="D58" s="3" t="str">
        <f t="shared" si="24"/>
        <v>T_BAD_DEBT - Tenant Bad Debt Expense</v>
      </c>
      <c r="E58"/>
      <c r="F58" s="24" t="str">
        <f>_xll.EVDES(D58)</f>
        <v>Tenant Bad Debt Expense</v>
      </c>
      <c r="G58" s="12">
        <f ca="1">SUMIFS(OFFSET('BPC Data'!$F:$F,0,Summary!G$2),'BPC Data'!$E:$E,Summary!$D58,'BPC Data'!$B:$B,Summary!$C58)</f>
        <v>15000</v>
      </c>
      <c r="H58" s="184">
        <f ca="1">SUMIFS(OFFSET('BPC Data'!$F:$F,0,Summary!H$2),'BPC Data'!$E:$E,Summary!$D58,'BPC Data'!$B:$B,Summary!$C58)</f>
        <v>21171</v>
      </c>
      <c r="I58" s="12">
        <f ca="1">SUMIFS(OFFSET('BPC Data'!$F:$F,0,Summary!I$2),'BPC Data'!$E:$E,Summary!$D58,'BPC Data'!$B:$B,Summary!$C58)</f>
        <v>22500</v>
      </c>
      <c r="J58" s="184">
        <f ca="1">SUMIFS(OFFSET('BPC Data'!$F:$F,0,Summary!J$2),'BPC Data'!$E:$E,Summary!$D58,'BPC Data'!$B:$B,Summary!$C58)</f>
        <v>33033</v>
      </c>
      <c r="K58" s="12">
        <f ca="1">SUMIFS(OFFSET('BPC Data'!$F:$F,0,Summary!K$2),'BPC Data'!$E:$E,Summary!$D58,'BPC Data'!$B:$B,Summary!$C58)</f>
        <v>12500</v>
      </c>
      <c r="L58" s="184">
        <f ca="1">SUMIFS(OFFSET('BPC Data'!$F:$F,0,Summary!L$2),'BPC Data'!$E:$E,Summary!$D58,'BPC Data'!$B:$B,Summary!$C58)</f>
        <v>10000</v>
      </c>
      <c r="M58" s="12">
        <f ca="1">SUMIFS(OFFSET('BPC Data'!$F:$F,0,Summary!M$2),'BPC Data'!$E:$E,Summary!$D58,'BPC Data'!$B:$B,Summary!$C58)</f>
        <v>0</v>
      </c>
      <c r="N58" s="184">
        <f ca="1">SUMIFS(OFFSET('BPC Data'!$F:$F,0,Summary!N$2),'BPC Data'!$E:$E,Summary!$D58,'BPC Data'!$B:$B,Summary!$C58)</f>
        <v>0</v>
      </c>
      <c r="O58" s="12">
        <f ca="1">SUMIFS(OFFSET('BPC Data'!$F:$F,0,Summary!O$2),'BPC Data'!$E:$E,Summary!$D58,'BPC Data'!$B:$B,Summary!$C58)</f>
        <v>0</v>
      </c>
      <c r="P58" s="184">
        <f ca="1">SUMIFS(OFFSET('BPC Data'!$F:$F,0,Summary!P$2),'BPC Data'!$E:$E,Summary!$D58,'BPC Data'!$B:$B,Summary!$C58)</f>
        <v>0</v>
      </c>
      <c r="Q58" s="12">
        <f ca="1">SUMIFS(OFFSET('BPC Data'!$F:$F,0,Summary!Q$2),'BPC Data'!$E:$E,Summary!$D58,'BPC Data'!$B:$B,Summary!$C58)</f>
        <v>0</v>
      </c>
      <c r="R58" s="184">
        <f ca="1">SUMIFS(OFFSET('BPC Data'!$F:$F,0,Summary!R$2),'BPC Data'!$E:$E,Summary!$D58,'BPC Data'!$B:$B,Summary!$C58)</f>
        <v>10000</v>
      </c>
      <c r="S58" s="187">
        <f t="shared" ca="1" si="20"/>
        <v>124204</v>
      </c>
      <c r="T58" s="181"/>
    </row>
    <row r="59" spans="1:20" s="17" customFormat="1" x14ac:dyDescent="0.25">
      <c r="A59" s="17">
        <f t="shared" si="33"/>
        <v>5</v>
      </c>
      <c r="B59"/>
      <c r="C59" t="str">
        <f>$F53</f>
        <v>SHC of Bowling Green</v>
      </c>
      <c r="D59" s="2" t="str">
        <f t="shared" si="24"/>
        <v>T_EBITDARM - EBITDARM</v>
      </c>
      <c r="E59"/>
      <c r="F59" s="24" t="str">
        <f>_xll.EVDES(D59)</f>
        <v>EBITDARM</v>
      </c>
      <c r="G59" s="12">
        <f ca="1">SUMIFS(OFFSET('BPC Data'!$F:$F,0,Summary!G$2),'BPC Data'!$E:$E,Summary!$D59,'BPC Data'!$B:$B,Summary!$C59)</f>
        <v>294455</v>
      </c>
      <c r="H59" s="184">
        <f ca="1">SUMIFS(OFFSET('BPC Data'!$F:$F,0,Summary!H$2),'BPC Data'!$E:$E,Summary!$D59,'BPC Data'!$B:$B,Summary!$C59)</f>
        <v>389875</v>
      </c>
      <c r="I59" s="12">
        <f ca="1">SUMIFS(OFFSET('BPC Data'!$F:$F,0,Summary!I$2),'BPC Data'!$E:$E,Summary!$D59,'BPC Data'!$B:$B,Summary!$C59)</f>
        <v>407165</v>
      </c>
      <c r="J59" s="184">
        <f ca="1">SUMIFS(OFFSET('BPC Data'!$F:$F,0,Summary!J$2),'BPC Data'!$E:$E,Summary!$D59,'BPC Data'!$B:$B,Summary!$C59)</f>
        <v>-490589</v>
      </c>
      <c r="K59" s="12">
        <f ca="1">SUMIFS(OFFSET('BPC Data'!$F:$F,0,Summary!K$2),'BPC Data'!$E:$E,Summary!$D59,'BPC Data'!$B:$B,Summary!$C59)</f>
        <v>339876</v>
      </c>
      <c r="L59" s="184">
        <f ca="1">SUMIFS(OFFSET('BPC Data'!$F:$F,0,Summary!L$2),'BPC Data'!$E:$E,Summary!$D59,'BPC Data'!$B:$B,Summary!$C59)</f>
        <v>261012</v>
      </c>
      <c r="M59" s="12">
        <f ca="1">SUMIFS(OFFSET('BPC Data'!$F:$F,0,Summary!M$2),'BPC Data'!$E:$E,Summary!$D59,'BPC Data'!$B:$B,Summary!$C59)</f>
        <v>441284</v>
      </c>
      <c r="N59" s="184">
        <f ca="1">SUMIFS(OFFSET('BPC Data'!$F:$F,0,Summary!N$2),'BPC Data'!$E:$E,Summary!$D59,'BPC Data'!$B:$B,Summary!$C59)</f>
        <v>319199</v>
      </c>
      <c r="O59" s="12">
        <f ca="1">SUMIFS(OFFSET('BPC Data'!$F:$F,0,Summary!O$2),'BPC Data'!$E:$E,Summary!$D59,'BPC Data'!$B:$B,Summary!$C59)</f>
        <v>250242</v>
      </c>
      <c r="P59" s="184">
        <f ca="1">SUMIFS(OFFSET('BPC Data'!$F:$F,0,Summary!P$2),'BPC Data'!$E:$E,Summary!$D59,'BPC Data'!$B:$B,Summary!$C59)</f>
        <v>214526</v>
      </c>
      <c r="Q59" s="12">
        <f ca="1">SUMIFS(OFFSET('BPC Data'!$F:$F,0,Summary!Q$2),'BPC Data'!$E:$E,Summary!$D59,'BPC Data'!$B:$B,Summary!$C59)</f>
        <v>335111</v>
      </c>
      <c r="R59" s="184">
        <f ca="1">SUMIFS(OFFSET('BPC Data'!$F:$F,0,Summary!R$2),'BPC Data'!$E:$E,Summary!$D59,'BPC Data'!$B:$B,Summary!$C59)</f>
        <v>264875</v>
      </c>
      <c r="S59" s="187">
        <f t="shared" ca="1" si="20"/>
        <v>3027031</v>
      </c>
      <c r="T59" s="181"/>
    </row>
    <row r="60" spans="1:20" s="17" customFormat="1" x14ac:dyDescent="0.25">
      <c r="A60" s="17">
        <f t="shared" si="33"/>
        <v>5</v>
      </c>
      <c r="B60"/>
      <c r="C60" t="str">
        <f>$F53</f>
        <v>SHC of Bowling Green</v>
      </c>
      <c r="D60" s="2" t="str">
        <f t="shared" si="24"/>
        <v>T_MGMT_FEE - Tenant Management Fee - Actual</v>
      </c>
      <c r="E60"/>
      <c r="F60" s="24" t="str">
        <f>_xll.EVDES(D60)</f>
        <v>Tenant Management Fee - Actual</v>
      </c>
      <c r="G60" s="12">
        <f ca="1">SUMIFS(OFFSET('BPC Data'!$F:$F,0,Summary!G$2),'BPC Data'!$E:$E,Summary!$D60,'BPC Data'!$B:$B,Summary!$C60)</f>
        <v>58156</v>
      </c>
      <c r="H60" s="184">
        <f ca="1">SUMIFS(OFFSET('BPC Data'!$F:$F,0,Summary!H$2),'BPC Data'!$E:$E,Summary!$D60,'BPC Data'!$B:$B,Summary!$C60)</f>
        <v>65980</v>
      </c>
      <c r="I60" s="12">
        <f ca="1">SUMIFS(OFFSET('BPC Data'!$F:$F,0,Summary!I$2),'BPC Data'!$E:$E,Summary!$D60,'BPC Data'!$B:$B,Summary!$C60)</f>
        <v>76021</v>
      </c>
      <c r="J60" s="184">
        <f ca="1">SUMIFS(OFFSET('BPC Data'!$F:$F,0,Summary!J$2),'BPC Data'!$E:$E,Summary!$D60,'BPC Data'!$B:$B,Summary!$C60)</f>
        <v>42371</v>
      </c>
      <c r="K60" s="12">
        <f ca="1">SUMIFS(OFFSET('BPC Data'!$F:$F,0,Summary!K$2),'BPC Data'!$E:$E,Summary!$D60,'BPC Data'!$B:$B,Summary!$C60)</f>
        <v>64579</v>
      </c>
      <c r="L60" s="184">
        <f ca="1">SUMIFS(OFFSET('BPC Data'!$F:$F,0,Summary!L$2),'BPC Data'!$E:$E,Summary!$D60,'BPC Data'!$B:$B,Summary!$C60)</f>
        <v>57348</v>
      </c>
      <c r="M60" s="12">
        <f ca="1">SUMIFS(OFFSET('BPC Data'!$F:$F,0,Summary!M$2),'BPC Data'!$E:$E,Summary!$D60,'BPC Data'!$B:$B,Summary!$C60)</f>
        <v>68606</v>
      </c>
      <c r="N60" s="184">
        <f ca="1">SUMIFS(OFFSET('BPC Data'!$F:$F,0,Summary!N$2),'BPC Data'!$E:$E,Summary!$D60,'BPC Data'!$B:$B,Summary!$C60)</f>
        <v>59252</v>
      </c>
      <c r="O60" s="12">
        <f ca="1">SUMIFS(OFFSET('BPC Data'!$F:$F,0,Summary!O$2),'BPC Data'!$E:$E,Summary!$D60,'BPC Data'!$B:$B,Summary!$C60)</f>
        <v>56720</v>
      </c>
      <c r="P60" s="184">
        <f ca="1">SUMIFS(OFFSET('BPC Data'!$F:$F,0,Summary!P$2),'BPC Data'!$E:$E,Summary!$D60,'BPC Data'!$B:$B,Summary!$C60)</f>
        <v>54553</v>
      </c>
      <c r="Q60" s="12">
        <f ca="1">SUMIFS(OFFSET('BPC Data'!$F:$F,0,Summary!Q$2),'BPC Data'!$E:$E,Summary!$D60,'BPC Data'!$B:$B,Summary!$C60)</f>
        <v>59538</v>
      </c>
      <c r="R60" s="184">
        <f ca="1">SUMIFS(OFFSET('BPC Data'!$F:$F,0,Summary!R$2),'BPC Data'!$E:$E,Summary!$D60,'BPC Data'!$B:$B,Summary!$C60)</f>
        <v>60787</v>
      </c>
      <c r="S60" s="187">
        <f t="shared" ca="1" si="20"/>
        <v>723911</v>
      </c>
      <c r="T60" s="181"/>
    </row>
    <row r="61" spans="1:20" s="17" customFormat="1" x14ac:dyDescent="0.25">
      <c r="A61" s="17">
        <f t="shared" si="33"/>
        <v>5</v>
      </c>
      <c r="B61"/>
      <c r="C61" t="str">
        <f>$F53</f>
        <v>SHC of Bowling Green</v>
      </c>
      <c r="D61" s="1" t="str">
        <f t="shared" si="24"/>
        <v>T_EBITDAR - EBITDAR</v>
      </c>
      <c r="E61"/>
      <c r="F61" s="24" t="str">
        <f>_xll.EVDES(D61)</f>
        <v>EBITDAR</v>
      </c>
      <c r="G61" s="12">
        <f ca="1">SUMIFS(OFFSET('BPC Data'!$F:$F,0,Summary!G$2),'BPC Data'!$E:$E,Summary!$D61,'BPC Data'!$B:$B,Summary!$C61)</f>
        <v>236299</v>
      </c>
      <c r="H61" s="184">
        <f ca="1">SUMIFS(OFFSET('BPC Data'!$F:$F,0,Summary!H$2),'BPC Data'!$E:$E,Summary!$D61,'BPC Data'!$B:$B,Summary!$C61)</f>
        <v>323895</v>
      </c>
      <c r="I61" s="12">
        <f ca="1">SUMIFS(OFFSET('BPC Data'!$F:$F,0,Summary!I$2),'BPC Data'!$E:$E,Summary!$D61,'BPC Data'!$B:$B,Summary!$C61)</f>
        <v>331144</v>
      </c>
      <c r="J61" s="184">
        <f ca="1">SUMIFS(OFFSET('BPC Data'!$F:$F,0,Summary!J$2),'BPC Data'!$E:$E,Summary!$D61,'BPC Data'!$B:$B,Summary!$C61)</f>
        <v>-532960</v>
      </c>
      <c r="K61" s="12">
        <f ca="1">SUMIFS(OFFSET('BPC Data'!$F:$F,0,Summary!K$2),'BPC Data'!$E:$E,Summary!$D61,'BPC Data'!$B:$B,Summary!$C61)</f>
        <v>275297</v>
      </c>
      <c r="L61" s="184">
        <f ca="1">SUMIFS(OFFSET('BPC Data'!$F:$F,0,Summary!L$2),'BPC Data'!$E:$E,Summary!$D61,'BPC Data'!$B:$B,Summary!$C61)</f>
        <v>203664</v>
      </c>
      <c r="M61" s="12">
        <f ca="1">SUMIFS(OFFSET('BPC Data'!$F:$F,0,Summary!M$2),'BPC Data'!$E:$E,Summary!$D61,'BPC Data'!$B:$B,Summary!$C61)</f>
        <v>372678</v>
      </c>
      <c r="N61" s="184">
        <f ca="1">SUMIFS(OFFSET('BPC Data'!$F:$F,0,Summary!N$2),'BPC Data'!$E:$E,Summary!$D61,'BPC Data'!$B:$B,Summary!$C61)</f>
        <v>259947</v>
      </c>
      <c r="O61" s="12">
        <f ca="1">SUMIFS(OFFSET('BPC Data'!$F:$F,0,Summary!O$2),'BPC Data'!$E:$E,Summary!$D61,'BPC Data'!$B:$B,Summary!$C61)</f>
        <v>193522</v>
      </c>
      <c r="P61" s="184">
        <f ca="1">SUMIFS(OFFSET('BPC Data'!$F:$F,0,Summary!P$2),'BPC Data'!$E:$E,Summary!$D61,'BPC Data'!$B:$B,Summary!$C61)</f>
        <v>159973</v>
      </c>
      <c r="Q61" s="12">
        <f ca="1">SUMIFS(OFFSET('BPC Data'!$F:$F,0,Summary!Q$2),'BPC Data'!$E:$E,Summary!$D61,'BPC Data'!$B:$B,Summary!$C61)</f>
        <v>275573</v>
      </c>
      <c r="R61" s="184">
        <f ca="1">SUMIFS(OFFSET('BPC Data'!$F:$F,0,Summary!R$2),'BPC Data'!$E:$E,Summary!$D61,'BPC Data'!$B:$B,Summary!$C61)</f>
        <v>204088</v>
      </c>
      <c r="S61" s="187">
        <f t="shared" ca="1" si="20"/>
        <v>2303120</v>
      </c>
      <c r="T61" s="181"/>
    </row>
    <row r="62" spans="1:20" s="17" customFormat="1" x14ac:dyDescent="0.25">
      <c r="A62" s="17">
        <f t="shared" si="33"/>
        <v>5</v>
      </c>
      <c r="B62"/>
      <c r="C62" t="str">
        <f>$F53</f>
        <v>SHC of Bowling Green</v>
      </c>
      <c r="D62" s="1" t="str">
        <f t="shared" si="24"/>
        <v>T_RENT_EXP - Tenant Rent Expense</v>
      </c>
      <c r="E62"/>
      <c r="F62" s="24" t="str">
        <f>_xll.EVDES(D62)</f>
        <v>Tenant Rent Expense</v>
      </c>
      <c r="G62" s="12">
        <f ca="1">SUMIFS(OFFSET('BPC Data'!$F:$F,0,Summary!G$2),'BPC Data'!$E:$E,Summary!$D62,'BPC Data'!$B:$B,Summary!$C62)</f>
        <v>224014</v>
      </c>
      <c r="H62" s="184">
        <f ca="1">SUMIFS(OFFSET('BPC Data'!$F:$F,0,Summary!H$2),'BPC Data'!$E:$E,Summary!$D62,'BPC Data'!$B:$B,Summary!$C62)</f>
        <v>224014</v>
      </c>
      <c r="I62" s="12">
        <f ca="1">SUMIFS(OFFSET('BPC Data'!$F:$F,0,Summary!I$2),'BPC Data'!$E:$E,Summary!$D62,'BPC Data'!$B:$B,Summary!$C62)</f>
        <v>224014</v>
      </c>
      <c r="J62" s="184">
        <f ca="1">SUMIFS(OFFSET('BPC Data'!$F:$F,0,Summary!J$2),'BPC Data'!$E:$E,Summary!$D62,'BPC Data'!$B:$B,Summary!$C62)</f>
        <v>229614</v>
      </c>
      <c r="K62" s="12">
        <f ca="1">SUMIFS(OFFSET('BPC Data'!$F:$F,0,Summary!K$2),'BPC Data'!$E:$E,Summary!$D62,'BPC Data'!$B:$B,Summary!$C62)</f>
        <v>229614</v>
      </c>
      <c r="L62" s="184">
        <f ca="1">SUMIFS(OFFSET('BPC Data'!$F:$F,0,Summary!L$2),'BPC Data'!$E:$E,Summary!$D62,'BPC Data'!$B:$B,Summary!$C62)</f>
        <v>229614</v>
      </c>
      <c r="M62" s="12">
        <f ca="1">SUMIFS(OFFSET('BPC Data'!$F:$F,0,Summary!M$2),'BPC Data'!$E:$E,Summary!$D62,'BPC Data'!$B:$B,Summary!$C62)</f>
        <v>229614</v>
      </c>
      <c r="N62" s="184">
        <f ca="1">SUMIFS(OFFSET('BPC Data'!$F:$F,0,Summary!N$2),'BPC Data'!$E:$E,Summary!$D62,'BPC Data'!$B:$B,Summary!$C62)</f>
        <v>229614</v>
      </c>
      <c r="O62" s="12">
        <f ca="1">SUMIFS(OFFSET('BPC Data'!$F:$F,0,Summary!O$2),'BPC Data'!$E:$E,Summary!$D62,'BPC Data'!$B:$B,Summary!$C62)</f>
        <v>229614</v>
      </c>
      <c r="P62" s="184">
        <f ca="1">SUMIFS(OFFSET('BPC Data'!$F:$F,0,Summary!P$2),'BPC Data'!$E:$E,Summary!$D62,'BPC Data'!$B:$B,Summary!$C62)</f>
        <v>229614</v>
      </c>
      <c r="Q62" s="12">
        <f ca="1">SUMIFS(OFFSET('BPC Data'!$F:$F,0,Summary!Q$2),'BPC Data'!$E:$E,Summary!$D62,'BPC Data'!$B:$B,Summary!$C62)</f>
        <v>229614</v>
      </c>
      <c r="R62" s="184">
        <f ca="1">SUMIFS(OFFSET('BPC Data'!$F:$F,0,Summary!R$2),'BPC Data'!$E:$E,Summary!$D62,'BPC Data'!$B:$B,Summary!$C62)</f>
        <v>229614</v>
      </c>
      <c r="S62" s="187">
        <f t="shared" ca="1" si="20"/>
        <v>2738568</v>
      </c>
      <c r="T62" s="181"/>
    </row>
    <row r="63" spans="1:20" s="17" customFormat="1" x14ac:dyDescent="0.25">
      <c r="A63" s="17">
        <f t="shared" si="33"/>
        <v>5</v>
      </c>
      <c r="B63"/>
      <c r="C63"/>
      <c r="D63" s="1" t="str">
        <f t="shared" si="24"/>
        <v>x</v>
      </c>
      <c r="E63"/>
      <c r="F63" s="24" t="s">
        <v>0</v>
      </c>
      <c r="G63" s="21">
        <f ca="1">IFERROR(G61/G62,"N/A")</f>
        <v>1.054840322479845</v>
      </c>
      <c r="H63" s="185">
        <f t="shared" ref="H63:I63" ca="1" si="34">IFERROR(H61/H62,"N/A")</f>
        <v>1.4458694545876598</v>
      </c>
      <c r="I63" s="21">
        <f t="shared" ca="1" si="34"/>
        <v>1.478229039256475</v>
      </c>
      <c r="J63" s="185">
        <f t="shared" ref="J63:R63" ca="1" si="35">IFERROR(J61/J62,"N/A")</f>
        <v>-2.3211128241309327</v>
      </c>
      <c r="K63" s="21">
        <f t="shared" ca="1" si="35"/>
        <v>1.1989556385934657</v>
      </c>
      <c r="L63" s="185">
        <f t="shared" ca="1" si="35"/>
        <v>0.88698424312106405</v>
      </c>
      <c r="M63" s="21">
        <f t="shared" ca="1" si="35"/>
        <v>1.6230630536465547</v>
      </c>
      <c r="N63" s="185">
        <f t="shared" ca="1" si="35"/>
        <v>1.1321043141968696</v>
      </c>
      <c r="O63" s="21">
        <f t="shared" ca="1" si="35"/>
        <v>0.84281446253277237</v>
      </c>
      <c r="P63" s="185">
        <f t="shared" ca="1" si="35"/>
        <v>0.69670403372616652</v>
      </c>
      <c r="Q63" s="21">
        <f t="shared" ca="1" si="35"/>
        <v>1.2001576558920624</v>
      </c>
      <c r="R63" s="185">
        <f t="shared" ca="1" si="35"/>
        <v>0.88883082042035766</v>
      </c>
      <c r="S63" s="187">
        <f t="shared" ca="1" si="20"/>
        <v>10.127440214322361</v>
      </c>
      <c r="T63" s="181"/>
    </row>
    <row r="64" spans="1:20" s="17" customFormat="1" x14ac:dyDescent="0.25">
      <c r="A64" s="17">
        <f>IF(AND(D64&lt;&gt;"",C64=""),A63+1,A63)</f>
        <v>6</v>
      </c>
      <c r="B64" s="5"/>
      <c r="C64" s="5"/>
      <c r="D64" s="5" t="str">
        <f t="shared" ref="D64:D74" si="36">$D53</f>
        <v>x</v>
      </c>
      <c r="E64" s="5"/>
      <c r="F64" s="23" t="str">
        <f>INDEX(PropertyList!$D:$D,MATCH(Summary!$A64,PropertyList!$C:$C,0))</f>
        <v>Oakview Nursing and Rehabilitation Center</v>
      </c>
      <c r="G64" s="11"/>
      <c r="H64" s="182"/>
      <c r="I64" s="11"/>
      <c r="J64" s="182"/>
      <c r="K64" s="11"/>
      <c r="L64" s="182"/>
      <c r="M64" s="11"/>
      <c r="N64" s="182"/>
      <c r="O64" s="11"/>
      <c r="P64" s="182"/>
      <c r="Q64" s="11"/>
      <c r="R64" s="182"/>
      <c r="S64" s="187">
        <f t="shared" si="20"/>
        <v>0</v>
      </c>
      <c r="T64" s="181"/>
    </row>
    <row r="65" spans="1:20" s="17" customFormat="1" x14ac:dyDescent="0.25">
      <c r="A65" s="17">
        <f>IF(AND(F65&lt;&gt;"",D65=""),A64+1,A64)</f>
        <v>6</v>
      </c>
      <c r="C65" t="str">
        <f>$F64</f>
        <v>Oakview Nursing and Rehabilitation Center</v>
      </c>
      <c r="D65" s="3" t="str">
        <f t="shared" si="36"/>
        <v>PAY_PAT_DAYS - Total Payor Patient Days</v>
      </c>
      <c r="F65" s="24" t="str">
        <f>_xll.EVDES(D65)</f>
        <v>Total Payor Patient Days</v>
      </c>
      <c r="G65" s="19">
        <f ca="1">SUMIFS(OFFSET('BPC Data'!$F:$F,0,Summary!G$2),'BPC Data'!$E:$E,Summary!$D65,'BPC Data'!$B:$B,Summary!$C65)</f>
        <v>2162</v>
      </c>
      <c r="H65" s="183">
        <f ca="1">SUMIFS(OFFSET('BPC Data'!$F:$F,0,Summary!H$2),'BPC Data'!$E:$E,Summary!$D65,'BPC Data'!$B:$B,Summary!$C65)</f>
        <v>2181</v>
      </c>
      <c r="I65" s="19">
        <f ca="1">SUMIFS(OFFSET('BPC Data'!$F:$F,0,Summary!I$2),'BPC Data'!$E:$E,Summary!$D65,'BPC Data'!$B:$B,Summary!$C65)</f>
        <v>2056</v>
      </c>
      <c r="J65" s="183">
        <f ca="1">SUMIFS(OFFSET('BPC Data'!$F:$F,0,Summary!J$2),'BPC Data'!$E:$E,Summary!$D65,'BPC Data'!$B:$B,Summary!$C65)</f>
        <v>2028</v>
      </c>
      <c r="K65" s="19">
        <f ca="1">SUMIFS(OFFSET('BPC Data'!$F:$F,0,Summary!K$2),'BPC Data'!$E:$E,Summary!$D65,'BPC Data'!$B:$B,Summary!$C65)</f>
        <v>2114</v>
      </c>
      <c r="L65" s="183">
        <f ca="1">SUMIFS(OFFSET('BPC Data'!$F:$F,0,Summary!L$2),'BPC Data'!$E:$E,Summary!$D65,'BPC Data'!$B:$B,Summary!$C65)</f>
        <v>1914</v>
      </c>
      <c r="M65" s="19">
        <f ca="1">SUMIFS(OFFSET('BPC Data'!$F:$F,0,Summary!M$2),'BPC Data'!$E:$E,Summary!$D65,'BPC Data'!$B:$B,Summary!$C65)</f>
        <v>2043</v>
      </c>
      <c r="N65" s="183">
        <f ca="1">SUMIFS(OFFSET('BPC Data'!$F:$F,0,Summary!N$2),'BPC Data'!$E:$E,Summary!$D65,'BPC Data'!$B:$B,Summary!$C65)</f>
        <v>2019</v>
      </c>
      <c r="O65" s="19">
        <f ca="1">SUMIFS(OFFSET('BPC Data'!$F:$F,0,Summary!O$2),'BPC Data'!$E:$E,Summary!$D65,'BPC Data'!$B:$B,Summary!$C65)</f>
        <v>2086</v>
      </c>
      <c r="P65" s="183">
        <f ca="1">SUMIFS(OFFSET('BPC Data'!$F:$F,0,Summary!P$2),'BPC Data'!$E:$E,Summary!$D65,'BPC Data'!$B:$B,Summary!$C65)</f>
        <v>2067</v>
      </c>
      <c r="Q65" s="19">
        <f ca="1">SUMIFS(OFFSET('BPC Data'!$F:$F,0,Summary!Q$2),'BPC Data'!$E:$E,Summary!$D65,'BPC Data'!$B:$B,Summary!$C65)</f>
        <v>2144</v>
      </c>
      <c r="R65" s="183">
        <f ca="1">SUMIFS(OFFSET('BPC Data'!$F:$F,0,Summary!R$2),'BPC Data'!$E:$E,Summary!$D65,'BPC Data'!$B:$B,Summary!$C65)</f>
        <v>2034</v>
      </c>
      <c r="S65" s="187">
        <f t="shared" ca="1" si="20"/>
        <v>24848</v>
      </c>
      <c r="T65" s="181"/>
    </row>
    <row r="66" spans="1:20" s="17" customFormat="1" x14ac:dyDescent="0.25">
      <c r="A66" s="17">
        <f t="shared" ref="A66:A74" si="37">IF(AND(F66&lt;&gt;"",D66=""),A65+1,A65)</f>
        <v>6</v>
      </c>
      <c r="C66" t="str">
        <f>$F64</f>
        <v>Oakview Nursing and Rehabilitation Center</v>
      </c>
      <c r="D66" s="3" t="str">
        <f t="shared" si="36"/>
        <v>A_BEDS_TOTAL - Total Available Beds</v>
      </c>
      <c r="F66" s="24" t="str">
        <f>_xll.EVDES(D66)</f>
        <v>Total Available Beds</v>
      </c>
      <c r="G66" s="19">
        <f ca="1">SUMIFS(OFFSET('BPC Data'!$F:$F,0,Summary!G$2),'BPC Data'!$E:$E,Summary!$D66,'BPC Data'!$B:$B,Summary!$C66)</f>
        <v>98</v>
      </c>
      <c r="H66" s="183">
        <f ca="1">SUMIFS(OFFSET('BPC Data'!$F:$F,0,Summary!H$2),'BPC Data'!$E:$E,Summary!$D66,'BPC Data'!$B:$B,Summary!$C66)</f>
        <v>98</v>
      </c>
      <c r="I66" s="19">
        <f ca="1">SUMIFS(OFFSET('BPC Data'!$F:$F,0,Summary!I$2),'BPC Data'!$E:$E,Summary!$D66,'BPC Data'!$B:$B,Summary!$C66)</f>
        <v>98</v>
      </c>
      <c r="J66" s="183">
        <f ca="1">SUMIFS(OFFSET('BPC Data'!$F:$F,0,Summary!J$2),'BPC Data'!$E:$E,Summary!$D66,'BPC Data'!$B:$B,Summary!$C66)</f>
        <v>98</v>
      </c>
      <c r="K66" s="19">
        <f ca="1">SUMIFS(OFFSET('BPC Data'!$F:$F,0,Summary!K$2),'BPC Data'!$E:$E,Summary!$D66,'BPC Data'!$B:$B,Summary!$C66)</f>
        <v>98</v>
      </c>
      <c r="L66" s="183">
        <f ca="1">SUMIFS(OFFSET('BPC Data'!$F:$F,0,Summary!L$2),'BPC Data'!$E:$E,Summary!$D66,'BPC Data'!$B:$B,Summary!$C66)</f>
        <v>98</v>
      </c>
      <c r="M66" s="19">
        <f ca="1">SUMIFS(OFFSET('BPC Data'!$F:$F,0,Summary!M$2),'BPC Data'!$E:$E,Summary!$D66,'BPC Data'!$B:$B,Summary!$C66)</f>
        <v>98</v>
      </c>
      <c r="N66" s="183">
        <f ca="1">SUMIFS(OFFSET('BPC Data'!$F:$F,0,Summary!N$2),'BPC Data'!$E:$E,Summary!$D66,'BPC Data'!$B:$B,Summary!$C66)</f>
        <v>98</v>
      </c>
      <c r="O66" s="19">
        <f ca="1">SUMIFS(OFFSET('BPC Data'!$F:$F,0,Summary!O$2),'BPC Data'!$E:$E,Summary!$D66,'BPC Data'!$B:$B,Summary!$C66)</f>
        <v>98</v>
      </c>
      <c r="P66" s="183">
        <f ca="1">SUMIFS(OFFSET('BPC Data'!$F:$F,0,Summary!P$2),'BPC Data'!$E:$E,Summary!$D66,'BPC Data'!$B:$B,Summary!$C66)</f>
        <v>98</v>
      </c>
      <c r="Q66" s="19">
        <f ca="1">SUMIFS(OFFSET('BPC Data'!$F:$F,0,Summary!Q$2),'BPC Data'!$E:$E,Summary!$D66,'BPC Data'!$B:$B,Summary!$C66)</f>
        <v>98</v>
      </c>
      <c r="R66" s="183">
        <f ca="1">SUMIFS(OFFSET('BPC Data'!$F:$F,0,Summary!R$2),'BPC Data'!$E:$E,Summary!$D66,'BPC Data'!$B:$B,Summary!$C66)</f>
        <v>98</v>
      </c>
      <c r="S66" s="187">
        <f ca="1">R66</f>
        <v>98</v>
      </c>
      <c r="T66" s="181"/>
    </row>
    <row r="67" spans="1:20" s="17" customFormat="1" x14ac:dyDescent="0.25">
      <c r="A67" s="17">
        <f t="shared" si="37"/>
        <v>6</v>
      </c>
      <c r="B67"/>
      <c r="C67" t="str">
        <f>$F64</f>
        <v>Oakview Nursing and Rehabilitation Center</v>
      </c>
      <c r="D67" s="3" t="str">
        <f t="shared" si="36"/>
        <v>T_REVENUES - Total Tenant Revenues</v>
      </c>
      <c r="E67"/>
      <c r="F67" s="24" t="str">
        <f>_xll.EVDES(D67)</f>
        <v>Total Tenant Revenues</v>
      </c>
      <c r="G67" s="19">
        <f ca="1">SUMIFS(OFFSET('BPC Data'!$F:$F,0,Summary!G$2),'BPC Data'!$E:$E,Summary!$D67,'BPC Data'!$B:$B,Summary!$C67)</f>
        <v>653538</v>
      </c>
      <c r="H67" s="183">
        <f ca="1">SUMIFS(OFFSET('BPC Data'!$F:$F,0,Summary!H$2),'BPC Data'!$E:$E,Summary!$D67,'BPC Data'!$B:$B,Summary!$C67)</f>
        <v>580995</v>
      </c>
      <c r="I67" s="19">
        <f ca="1">SUMIFS(OFFSET('BPC Data'!$F:$F,0,Summary!I$2),'BPC Data'!$E:$E,Summary!$D67,'BPC Data'!$B:$B,Summary!$C67)</f>
        <v>630162</v>
      </c>
      <c r="J67" s="183">
        <f ca="1">SUMIFS(OFFSET('BPC Data'!$F:$F,0,Summary!J$2),'BPC Data'!$E:$E,Summary!$D67,'BPC Data'!$B:$B,Summary!$C67)</f>
        <v>802784</v>
      </c>
      <c r="K67" s="19">
        <f ca="1">SUMIFS(OFFSET('BPC Data'!$F:$F,0,Summary!K$2),'BPC Data'!$E:$E,Summary!$D67,'BPC Data'!$B:$B,Summary!$C67)</f>
        <v>500790</v>
      </c>
      <c r="L67" s="183">
        <f ca="1">SUMIFS(OFFSET('BPC Data'!$F:$F,0,Summary!L$2),'BPC Data'!$E:$E,Summary!$D67,'BPC Data'!$B:$B,Summary!$C67)</f>
        <v>455726</v>
      </c>
      <c r="M67" s="19">
        <f ca="1">SUMIFS(OFFSET('BPC Data'!$F:$F,0,Summary!M$2),'BPC Data'!$E:$E,Summary!$D67,'BPC Data'!$B:$B,Summary!$C67)</f>
        <v>600298</v>
      </c>
      <c r="N67" s="183">
        <f ca="1">SUMIFS(OFFSET('BPC Data'!$F:$F,0,Summary!N$2),'BPC Data'!$E:$E,Summary!$D67,'BPC Data'!$B:$B,Summary!$C67)</f>
        <v>501232</v>
      </c>
      <c r="O67" s="19">
        <f ca="1">SUMIFS(OFFSET('BPC Data'!$F:$F,0,Summary!O$2),'BPC Data'!$E:$E,Summary!$D67,'BPC Data'!$B:$B,Summary!$C67)</f>
        <v>523510</v>
      </c>
      <c r="P67" s="183">
        <f ca="1">SUMIFS(OFFSET('BPC Data'!$F:$F,0,Summary!P$2),'BPC Data'!$E:$E,Summary!$D67,'BPC Data'!$B:$B,Summary!$C67)</f>
        <v>523629</v>
      </c>
      <c r="Q67" s="19">
        <f ca="1">SUMIFS(OFFSET('BPC Data'!$F:$F,0,Summary!Q$2),'BPC Data'!$E:$E,Summary!$D67,'BPC Data'!$B:$B,Summary!$C67)</f>
        <v>561667</v>
      </c>
      <c r="R67" s="183">
        <f ca="1">SUMIFS(OFFSET('BPC Data'!$F:$F,0,Summary!R$2),'BPC Data'!$E:$E,Summary!$D67,'BPC Data'!$B:$B,Summary!$C67)</f>
        <v>619076</v>
      </c>
      <c r="S67" s="187">
        <f t="shared" ca="1" si="20"/>
        <v>6953407</v>
      </c>
      <c r="T67" s="181"/>
    </row>
    <row r="68" spans="1:20" s="17" customFormat="1" x14ac:dyDescent="0.25">
      <c r="A68" s="17">
        <f t="shared" si="37"/>
        <v>6</v>
      </c>
      <c r="B68"/>
      <c r="C68" t="str">
        <f>$F64</f>
        <v>Oakview Nursing and Rehabilitation Center</v>
      </c>
      <c r="D68" s="3" t="str">
        <f t="shared" si="36"/>
        <v>T_OPEX - Tenant Operating Expenses</v>
      </c>
      <c r="E68"/>
      <c r="F68" s="24" t="str">
        <f>_xll.EVDES(D68)</f>
        <v>Tenant Operating Expenses</v>
      </c>
      <c r="G68" s="19">
        <f ca="1">SUMIFS(OFFSET('BPC Data'!$F:$F,0,Summary!G$2),'BPC Data'!$E:$E,Summary!$D68,'BPC Data'!$B:$B,Summary!$C68)</f>
        <v>465096</v>
      </c>
      <c r="H68" s="183">
        <f ca="1">SUMIFS(OFFSET('BPC Data'!$F:$F,0,Summary!H$2),'BPC Data'!$E:$E,Summary!$D68,'BPC Data'!$B:$B,Summary!$C68)</f>
        <v>474942</v>
      </c>
      <c r="I68" s="19">
        <f ca="1">SUMIFS(OFFSET('BPC Data'!$F:$F,0,Summary!I$2),'BPC Data'!$E:$E,Summary!$D68,'BPC Data'!$B:$B,Summary!$C68)</f>
        <v>477521</v>
      </c>
      <c r="J68" s="183">
        <f ca="1">SUMIFS(OFFSET('BPC Data'!$F:$F,0,Summary!J$2),'BPC Data'!$E:$E,Summary!$D68,'BPC Data'!$B:$B,Summary!$C68)</f>
        <v>564921</v>
      </c>
      <c r="K68" s="19">
        <f ca="1">SUMIFS(OFFSET('BPC Data'!$F:$F,0,Summary!K$2),'BPC Data'!$E:$E,Summary!$D68,'BPC Data'!$B:$B,Summary!$C68)</f>
        <v>446891</v>
      </c>
      <c r="L68" s="183">
        <f ca="1">SUMIFS(OFFSET('BPC Data'!$F:$F,0,Summary!L$2),'BPC Data'!$E:$E,Summary!$D68,'BPC Data'!$B:$B,Summary!$C68)</f>
        <v>420102</v>
      </c>
      <c r="M68" s="19">
        <f ca="1">SUMIFS(OFFSET('BPC Data'!$F:$F,0,Summary!M$2),'BPC Data'!$E:$E,Summary!$D68,'BPC Data'!$B:$B,Summary!$C68)</f>
        <v>437196</v>
      </c>
      <c r="N68" s="183">
        <f ca="1">SUMIFS(OFFSET('BPC Data'!$F:$F,0,Summary!N$2),'BPC Data'!$E:$E,Summary!$D68,'BPC Data'!$B:$B,Summary!$C68)</f>
        <v>417773</v>
      </c>
      <c r="O68" s="19">
        <f ca="1">SUMIFS(OFFSET('BPC Data'!$F:$F,0,Summary!O$2),'BPC Data'!$E:$E,Summary!$D68,'BPC Data'!$B:$B,Summary!$C68)</f>
        <v>439739</v>
      </c>
      <c r="P68" s="183">
        <f ca="1">SUMIFS(OFFSET('BPC Data'!$F:$F,0,Summary!P$2),'BPC Data'!$E:$E,Summary!$D68,'BPC Data'!$B:$B,Summary!$C68)</f>
        <v>403830</v>
      </c>
      <c r="Q68" s="19">
        <f ca="1">SUMIFS(OFFSET('BPC Data'!$F:$F,0,Summary!Q$2),'BPC Data'!$E:$E,Summary!$D68,'BPC Data'!$B:$B,Summary!$C68)</f>
        <v>479236</v>
      </c>
      <c r="R68" s="183">
        <f ca="1">SUMIFS(OFFSET('BPC Data'!$F:$F,0,Summary!R$2),'BPC Data'!$E:$E,Summary!$D68,'BPC Data'!$B:$B,Summary!$C68)</f>
        <v>508423</v>
      </c>
      <c r="S68" s="187">
        <f t="shared" ca="1" si="20"/>
        <v>5535670</v>
      </c>
      <c r="T68" s="181"/>
    </row>
    <row r="69" spans="1:20" s="17" customFormat="1" x14ac:dyDescent="0.25">
      <c r="A69" s="17">
        <f t="shared" si="37"/>
        <v>6</v>
      </c>
      <c r="B69"/>
      <c r="C69" t="str">
        <f>$F64</f>
        <v>Oakview Nursing and Rehabilitation Center</v>
      </c>
      <c r="D69" s="3" t="str">
        <f t="shared" si="36"/>
        <v>T_BAD_DEBT - Tenant Bad Debt Expense</v>
      </c>
      <c r="E69"/>
      <c r="F69" s="24" t="str">
        <f>_xll.EVDES(D69)</f>
        <v>Tenant Bad Debt Expense</v>
      </c>
      <c r="G69" s="19">
        <f ca="1">SUMIFS(OFFSET('BPC Data'!$F:$F,0,Summary!G$2),'BPC Data'!$E:$E,Summary!$D69,'BPC Data'!$B:$B,Summary!$C69)</f>
        <v>5000</v>
      </c>
      <c r="H69" s="183">
        <f ca="1">SUMIFS(OFFSET('BPC Data'!$F:$F,0,Summary!H$2),'BPC Data'!$E:$E,Summary!$D69,'BPC Data'!$B:$B,Summary!$C69)</f>
        <v>2500</v>
      </c>
      <c r="I69" s="19">
        <f ca="1">SUMIFS(OFFSET('BPC Data'!$F:$F,0,Summary!I$2),'BPC Data'!$E:$E,Summary!$D69,'BPC Data'!$B:$B,Summary!$C69)</f>
        <v>2500</v>
      </c>
      <c r="J69" s="183">
        <f ca="1">SUMIFS(OFFSET('BPC Data'!$F:$F,0,Summary!J$2),'BPC Data'!$E:$E,Summary!$D69,'BPC Data'!$B:$B,Summary!$C69)</f>
        <v>11667</v>
      </c>
      <c r="K69" s="19">
        <f ca="1">SUMIFS(OFFSET('BPC Data'!$F:$F,0,Summary!K$2),'BPC Data'!$E:$E,Summary!$D69,'BPC Data'!$B:$B,Summary!$C69)</f>
        <v>7500</v>
      </c>
      <c r="L69" s="183">
        <f ca="1">SUMIFS(OFFSET('BPC Data'!$F:$F,0,Summary!L$2),'BPC Data'!$E:$E,Summary!$D69,'BPC Data'!$B:$B,Summary!$C69)</f>
        <v>7500</v>
      </c>
      <c r="M69" s="19">
        <f ca="1">SUMIFS(OFFSET('BPC Data'!$F:$F,0,Summary!M$2),'BPC Data'!$E:$E,Summary!$D69,'BPC Data'!$B:$B,Summary!$C69)</f>
        <v>0</v>
      </c>
      <c r="N69" s="183">
        <f ca="1">SUMIFS(OFFSET('BPC Data'!$F:$F,0,Summary!N$2),'BPC Data'!$E:$E,Summary!$D69,'BPC Data'!$B:$B,Summary!$C69)</f>
        <v>5000</v>
      </c>
      <c r="O69" s="19">
        <f ca="1">SUMIFS(OFFSET('BPC Data'!$F:$F,0,Summary!O$2),'BPC Data'!$E:$E,Summary!$D69,'BPC Data'!$B:$B,Summary!$C69)</f>
        <v>10000</v>
      </c>
      <c r="P69" s="183">
        <f ca="1">SUMIFS(OFFSET('BPC Data'!$F:$F,0,Summary!P$2),'BPC Data'!$E:$E,Summary!$D69,'BPC Data'!$B:$B,Summary!$C69)</f>
        <v>0</v>
      </c>
      <c r="Q69" s="19">
        <f ca="1">SUMIFS(OFFSET('BPC Data'!$F:$F,0,Summary!Q$2),'BPC Data'!$E:$E,Summary!$D69,'BPC Data'!$B:$B,Summary!$C69)</f>
        <v>5000</v>
      </c>
      <c r="R69" s="183">
        <f ca="1">SUMIFS(OFFSET('BPC Data'!$F:$F,0,Summary!R$2),'BPC Data'!$E:$E,Summary!$D69,'BPC Data'!$B:$B,Summary!$C69)</f>
        <v>0</v>
      </c>
      <c r="S69" s="187">
        <f t="shared" ca="1" si="20"/>
        <v>56667</v>
      </c>
      <c r="T69" s="181"/>
    </row>
    <row r="70" spans="1:20" s="17" customFormat="1" x14ac:dyDescent="0.25">
      <c r="A70" s="17">
        <f t="shared" si="37"/>
        <v>6</v>
      </c>
      <c r="B70"/>
      <c r="C70" t="str">
        <f>$F64</f>
        <v>Oakview Nursing and Rehabilitation Center</v>
      </c>
      <c r="D70" s="2" t="str">
        <f t="shared" si="36"/>
        <v>T_EBITDARM - EBITDARM</v>
      </c>
      <c r="E70"/>
      <c r="F70" s="24" t="str">
        <f>_xll.EVDES(D70)</f>
        <v>EBITDARM</v>
      </c>
      <c r="G70" s="19">
        <f ca="1">SUMIFS(OFFSET('BPC Data'!$F:$F,0,Summary!G$2),'BPC Data'!$E:$E,Summary!$D70,'BPC Data'!$B:$B,Summary!$C70)</f>
        <v>188442</v>
      </c>
      <c r="H70" s="183">
        <f ca="1">SUMIFS(OFFSET('BPC Data'!$F:$F,0,Summary!H$2),'BPC Data'!$E:$E,Summary!$D70,'BPC Data'!$B:$B,Summary!$C70)</f>
        <v>106053</v>
      </c>
      <c r="I70" s="19">
        <f ca="1">SUMIFS(OFFSET('BPC Data'!$F:$F,0,Summary!I$2),'BPC Data'!$E:$E,Summary!$D70,'BPC Data'!$B:$B,Summary!$C70)</f>
        <v>152641</v>
      </c>
      <c r="J70" s="183">
        <f ca="1">SUMIFS(OFFSET('BPC Data'!$F:$F,0,Summary!J$2),'BPC Data'!$E:$E,Summary!$D70,'BPC Data'!$B:$B,Summary!$C70)</f>
        <v>237863</v>
      </c>
      <c r="K70" s="19">
        <f ca="1">SUMIFS(OFFSET('BPC Data'!$F:$F,0,Summary!K$2),'BPC Data'!$E:$E,Summary!$D70,'BPC Data'!$B:$B,Summary!$C70)</f>
        <v>53899</v>
      </c>
      <c r="L70" s="183">
        <f ca="1">SUMIFS(OFFSET('BPC Data'!$F:$F,0,Summary!L$2),'BPC Data'!$E:$E,Summary!$D70,'BPC Data'!$B:$B,Summary!$C70)</f>
        <v>35624</v>
      </c>
      <c r="M70" s="19">
        <f ca="1">SUMIFS(OFFSET('BPC Data'!$F:$F,0,Summary!M$2),'BPC Data'!$E:$E,Summary!$D70,'BPC Data'!$B:$B,Summary!$C70)</f>
        <v>163102</v>
      </c>
      <c r="N70" s="183">
        <f ca="1">SUMIFS(OFFSET('BPC Data'!$F:$F,0,Summary!N$2),'BPC Data'!$E:$E,Summary!$D70,'BPC Data'!$B:$B,Summary!$C70)</f>
        <v>83459</v>
      </c>
      <c r="O70" s="19">
        <f ca="1">SUMIFS(OFFSET('BPC Data'!$F:$F,0,Summary!O$2),'BPC Data'!$E:$E,Summary!$D70,'BPC Data'!$B:$B,Summary!$C70)</f>
        <v>83771</v>
      </c>
      <c r="P70" s="183">
        <f ca="1">SUMIFS(OFFSET('BPC Data'!$F:$F,0,Summary!P$2),'BPC Data'!$E:$E,Summary!$D70,'BPC Data'!$B:$B,Summary!$C70)</f>
        <v>119799</v>
      </c>
      <c r="Q70" s="19">
        <f ca="1">SUMIFS(OFFSET('BPC Data'!$F:$F,0,Summary!Q$2),'BPC Data'!$E:$E,Summary!$D70,'BPC Data'!$B:$B,Summary!$C70)</f>
        <v>82431</v>
      </c>
      <c r="R70" s="183">
        <f ca="1">SUMIFS(OFFSET('BPC Data'!$F:$F,0,Summary!R$2),'BPC Data'!$E:$E,Summary!$D70,'BPC Data'!$B:$B,Summary!$C70)</f>
        <v>110653</v>
      </c>
      <c r="S70" s="187">
        <f t="shared" ca="1" si="20"/>
        <v>1417737</v>
      </c>
      <c r="T70" s="181"/>
    </row>
    <row r="71" spans="1:20" s="17" customFormat="1" x14ac:dyDescent="0.25">
      <c r="A71" s="17">
        <f t="shared" si="37"/>
        <v>6</v>
      </c>
      <c r="B71"/>
      <c r="C71" t="str">
        <f>$F64</f>
        <v>Oakview Nursing and Rehabilitation Center</v>
      </c>
      <c r="D71" s="2" t="str">
        <f t="shared" si="36"/>
        <v>T_MGMT_FEE - Tenant Management Fee - Actual</v>
      </c>
      <c r="E71"/>
      <c r="F71" s="24" t="str">
        <f>_xll.EVDES(D71)</f>
        <v>Tenant Management Fee - Actual</v>
      </c>
      <c r="G71" s="19">
        <f ca="1">SUMIFS(OFFSET('BPC Data'!$F:$F,0,Summary!G$2),'BPC Data'!$E:$E,Summary!$D71,'BPC Data'!$B:$B,Summary!$C71)</f>
        <v>32430</v>
      </c>
      <c r="H71" s="183">
        <f ca="1">SUMIFS(OFFSET('BPC Data'!$F:$F,0,Summary!H$2),'BPC Data'!$E:$E,Summary!$D71,'BPC Data'!$B:$B,Summary!$C71)</f>
        <v>29340</v>
      </c>
      <c r="I71" s="19">
        <f ca="1">SUMIFS(OFFSET('BPC Data'!$F:$F,0,Summary!I$2),'BPC Data'!$E:$E,Summary!$D71,'BPC Data'!$B:$B,Summary!$C71)</f>
        <v>31823</v>
      </c>
      <c r="J71" s="183">
        <f ca="1">SUMIFS(OFFSET('BPC Data'!$F:$F,0,Summary!J$2),'BPC Data'!$E:$E,Summary!$D71,'BPC Data'!$B:$B,Summary!$C71)</f>
        <v>42079</v>
      </c>
      <c r="K71" s="19">
        <f ca="1">SUMIFS(OFFSET('BPC Data'!$F:$F,0,Summary!K$2),'BPC Data'!$E:$E,Summary!$D71,'BPC Data'!$B:$B,Summary!$C71)</f>
        <v>25290</v>
      </c>
      <c r="L71" s="183">
        <f ca="1">SUMIFS(OFFSET('BPC Data'!$F:$F,0,Summary!L$2),'BPC Data'!$E:$E,Summary!$D71,'BPC Data'!$B:$B,Summary!$C71)</f>
        <v>23014</v>
      </c>
      <c r="M71" s="19">
        <f ca="1">SUMIFS(OFFSET('BPC Data'!$F:$F,0,Summary!M$2),'BPC Data'!$E:$E,Summary!$D71,'BPC Data'!$B:$B,Summary!$C71)</f>
        <v>30315</v>
      </c>
      <c r="N71" s="183">
        <f ca="1">SUMIFS(OFFSET('BPC Data'!$F:$F,0,Summary!N$2),'BPC Data'!$E:$E,Summary!$D71,'BPC Data'!$B:$B,Summary!$C71)</f>
        <v>25312</v>
      </c>
      <c r="O71" s="19">
        <f ca="1">SUMIFS(OFFSET('BPC Data'!$F:$F,0,Summary!O$2),'BPC Data'!$E:$E,Summary!$D71,'BPC Data'!$B:$B,Summary!$C71)</f>
        <v>26437</v>
      </c>
      <c r="P71" s="183">
        <f ca="1">SUMIFS(OFFSET('BPC Data'!$F:$F,0,Summary!P$2),'BPC Data'!$E:$E,Summary!$D71,'BPC Data'!$B:$B,Summary!$C71)</f>
        <v>26443</v>
      </c>
      <c r="Q71" s="19">
        <f ca="1">SUMIFS(OFFSET('BPC Data'!$F:$F,0,Summary!Q$2),'BPC Data'!$E:$E,Summary!$D71,'BPC Data'!$B:$B,Summary!$C71)</f>
        <v>28364</v>
      </c>
      <c r="R71" s="183">
        <f ca="1">SUMIFS(OFFSET('BPC Data'!$F:$F,0,Summary!R$2),'BPC Data'!$E:$E,Summary!$D71,'BPC Data'!$B:$B,Summary!$C71)</f>
        <v>31263</v>
      </c>
      <c r="S71" s="187">
        <f t="shared" ca="1" si="20"/>
        <v>352110</v>
      </c>
      <c r="T71" s="181"/>
    </row>
    <row r="72" spans="1:20" s="17" customFormat="1" x14ac:dyDescent="0.25">
      <c r="A72" s="17">
        <f t="shared" si="37"/>
        <v>6</v>
      </c>
      <c r="B72"/>
      <c r="C72" t="str">
        <f>$F64</f>
        <v>Oakview Nursing and Rehabilitation Center</v>
      </c>
      <c r="D72" s="1" t="str">
        <f t="shared" si="36"/>
        <v>T_EBITDAR - EBITDAR</v>
      </c>
      <c r="E72"/>
      <c r="F72" s="24" t="str">
        <f>_xll.EVDES(D72)</f>
        <v>EBITDAR</v>
      </c>
      <c r="G72" s="19">
        <f ca="1">SUMIFS(OFFSET('BPC Data'!$F:$F,0,Summary!G$2),'BPC Data'!$E:$E,Summary!$D72,'BPC Data'!$B:$B,Summary!$C72)</f>
        <v>156012</v>
      </c>
      <c r="H72" s="183">
        <f ca="1">SUMIFS(OFFSET('BPC Data'!$F:$F,0,Summary!H$2),'BPC Data'!$E:$E,Summary!$D72,'BPC Data'!$B:$B,Summary!$C72)</f>
        <v>76713</v>
      </c>
      <c r="I72" s="19">
        <f ca="1">SUMIFS(OFFSET('BPC Data'!$F:$F,0,Summary!I$2),'BPC Data'!$E:$E,Summary!$D72,'BPC Data'!$B:$B,Summary!$C72)</f>
        <v>120818</v>
      </c>
      <c r="J72" s="183">
        <f ca="1">SUMIFS(OFFSET('BPC Data'!$F:$F,0,Summary!J$2),'BPC Data'!$E:$E,Summary!$D72,'BPC Data'!$B:$B,Summary!$C72)</f>
        <v>195784</v>
      </c>
      <c r="K72" s="19">
        <f ca="1">SUMIFS(OFFSET('BPC Data'!$F:$F,0,Summary!K$2),'BPC Data'!$E:$E,Summary!$D72,'BPC Data'!$B:$B,Summary!$C72)</f>
        <v>28609</v>
      </c>
      <c r="L72" s="183">
        <f ca="1">SUMIFS(OFFSET('BPC Data'!$F:$F,0,Summary!L$2),'BPC Data'!$E:$E,Summary!$D72,'BPC Data'!$B:$B,Summary!$C72)</f>
        <v>12610</v>
      </c>
      <c r="M72" s="19">
        <f ca="1">SUMIFS(OFFSET('BPC Data'!$F:$F,0,Summary!M$2),'BPC Data'!$E:$E,Summary!$D72,'BPC Data'!$B:$B,Summary!$C72)</f>
        <v>132787</v>
      </c>
      <c r="N72" s="183">
        <f ca="1">SUMIFS(OFFSET('BPC Data'!$F:$F,0,Summary!N$2),'BPC Data'!$E:$E,Summary!$D72,'BPC Data'!$B:$B,Summary!$C72)</f>
        <v>58147</v>
      </c>
      <c r="O72" s="19">
        <f ca="1">SUMIFS(OFFSET('BPC Data'!$F:$F,0,Summary!O$2),'BPC Data'!$E:$E,Summary!$D72,'BPC Data'!$B:$B,Summary!$C72)</f>
        <v>57334</v>
      </c>
      <c r="P72" s="183">
        <f ca="1">SUMIFS(OFFSET('BPC Data'!$F:$F,0,Summary!P$2),'BPC Data'!$E:$E,Summary!$D72,'BPC Data'!$B:$B,Summary!$C72)</f>
        <v>93356</v>
      </c>
      <c r="Q72" s="19">
        <f ca="1">SUMIFS(OFFSET('BPC Data'!$F:$F,0,Summary!Q$2),'BPC Data'!$E:$E,Summary!$D72,'BPC Data'!$B:$B,Summary!$C72)</f>
        <v>54067</v>
      </c>
      <c r="R72" s="183">
        <f ca="1">SUMIFS(OFFSET('BPC Data'!$F:$F,0,Summary!R$2),'BPC Data'!$E:$E,Summary!$D72,'BPC Data'!$B:$B,Summary!$C72)</f>
        <v>79390</v>
      </c>
      <c r="S72" s="187">
        <f t="shared" ca="1" si="20"/>
        <v>1065627</v>
      </c>
      <c r="T72" s="181"/>
    </row>
    <row r="73" spans="1:20" s="17" customFormat="1" x14ac:dyDescent="0.25">
      <c r="A73" s="17">
        <f t="shared" si="37"/>
        <v>6</v>
      </c>
      <c r="B73"/>
      <c r="C73" t="str">
        <f>$F64</f>
        <v>Oakview Nursing and Rehabilitation Center</v>
      </c>
      <c r="D73" s="1" t="str">
        <f t="shared" si="36"/>
        <v>T_RENT_EXP - Tenant Rent Expense</v>
      </c>
      <c r="E73"/>
      <c r="F73" s="24" t="str">
        <f>_xll.EVDES(D73)</f>
        <v>Tenant Rent Expense</v>
      </c>
      <c r="G73" s="19">
        <f ca="1">SUMIFS(OFFSET('BPC Data'!$F:$F,0,Summary!G$2),'BPC Data'!$E:$E,Summary!$D73,'BPC Data'!$B:$B,Summary!$C73)</f>
        <v>95913</v>
      </c>
      <c r="H73" s="183">
        <f ca="1">SUMIFS(OFFSET('BPC Data'!$F:$F,0,Summary!H$2),'BPC Data'!$E:$E,Summary!$D73,'BPC Data'!$B:$B,Summary!$C73)</f>
        <v>95913</v>
      </c>
      <c r="I73" s="19">
        <f ca="1">SUMIFS(OFFSET('BPC Data'!$F:$F,0,Summary!I$2),'BPC Data'!$E:$E,Summary!$D73,'BPC Data'!$B:$B,Summary!$C73)</f>
        <v>95913</v>
      </c>
      <c r="J73" s="183">
        <f ca="1">SUMIFS(OFFSET('BPC Data'!$F:$F,0,Summary!J$2),'BPC Data'!$E:$E,Summary!$D73,'BPC Data'!$B:$B,Summary!$C73)</f>
        <v>98311</v>
      </c>
      <c r="K73" s="19">
        <f ca="1">SUMIFS(OFFSET('BPC Data'!$F:$F,0,Summary!K$2),'BPC Data'!$E:$E,Summary!$D73,'BPC Data'!$B:$B,Summary!$C73)</f>
        <v>98311</v>
      </c>
      <c r="L73" s="183">
        <f ca="1">SUMIFS(OFFSET('BPC Data'!$F:$F,0,Summary!L$2),'BPC Data'!$E:$E,Summary!$D73,'BPC Data'!$B:$B,Summary!$C73)</f>
        <v>98311</v>
      </c>
      <c r="M73" s="19">
        <f ca="1">SUMIFS(OFFSET('BPC Data'!$F:$F,0,Summary!M$2),'BPC Data'!$E:$E,Summary!$D73,'BPC Data'!$B:$B,Summary!$C73)</f>
        <v>98311</v>
      </c>
      <c r="N73" s="183">
        <f ca="1">SUMIFS(OFFSET('BPC Data'!$F:$F,0,Summary!N$2),'BPC Data'!$E:$E,Summary!$D73,'BPC Data'!$B:$B,Summary!$C73)</f>
        <v>98311</v>
      </c>
      <c r="O73" s="19">
        <f ca="1">SUMIFS(OFFSET('BPC Data'!$F:$F,0,Summary!O$2),'BPC Data'!$E:$E,Summary!$D73,'BPC Data'!$B:$B,Summary!$C73)</f>
        <v>98311</v>
      </c>
      <c r="P73" s="183">
        <f ca="1">SUMIFS(OFFSET('BPC Data'!$F:$F,0,Summary!P$2),'BPC Data'!$E:$E,Summary!$D73,'BPC Data'!$B:$B,Summary!$C73)</f>
        <v>98311</v>
      </c>
      <c r="Q73" s="19">
        <f ca="1">SUMIFS(OFFSET('BPC Data'!$F:$F,0,Summary!Q$2),'BPC Data'!$E:$E,Summary!$D73,'BPC Data'!$B:$B,Summary!$C73)</f>
        <v>98311</v>
      </c>
      <c r="R73" s="183">
        <f ca="1">SUMIFS(OFFSET('BPC Data'!$F:$F,0,Summary!R$2),'BPC Data'!$E:$E,Summary!$D73,'BPC Data'!$B:$B,Summary!$C73)</f>
        <v>98311</v>
      </c>
      <c r="S73" s="187">
        <f t="shared" ca="1" si="20"/>
        <v>1172538</v>
      </c>
      <c r="T73" s="181"/>
    </row>
    <row r="74" spans="1:20" s="17" customFormat="1" x14ac:dyDescent="0.25">
      <c r="A74" s="17">
        <f t="shared" si="37"/>
        <v>6</v>
      </c>
      <c r="B74"/>
      <c r="C74"/>
      <c r="D74" s="1" t="str">
        <f t="shared" si="36"/>
        <v>x</v>
      </c>
      <c r="E74"/>
      <c r="F74" s="24" t="s">
        <v>0</v>
      </c>
      <c r="G74" s="21">
        <f ca="1">IFERROR(G72/G73,"N/A")</f>
        <v>1.6265991054393043</v>
      </c>
      <c r="H74" s="185">
        <f t="shared" ref="H74:I74" ca="1" si="38">IFERROR(H72/H73,"N/A")</f>
        <v>0.79981858559319385</v>
      </c>
      <c r="I74" s="21">
        <f t="shared" ca="1" si="38"/>
        <v>1.2596624023854952</v>
      </c>
      <c r="J74" s="185">
        <f t="shared" ref="J74:R74" ca="1" si="39">IFERROR(J72/J73,"N/A")</f>
        <v>1.9914760301492203</v>
      </c>
      <c r="K74" s="21">
        <f t="shared" ca="1" si="39"/>
        <v>0.29100507572906387</v>
      </c>
      <c r="L74" s="185">
        <f t="shared" ca="1" si="39"/>
        <v>0.12826641983094467</v>
      </c>
      <c r="M74" s="21">
        <f t="shared" ca="1" si="39"/>
        <v>1.3506830364862528</v>
      </c>
      <c r="N74" s="185">
        <f t="shared" ca="1" si="39"/>
        <v>0.59145975526645034</v>
      </c>
      <c r="O74" s="21">
        <f t="shared" ca="1" si="39"/>
        <v>0.58319008045895171</v>
      </c>
      <c r="P74" s="185">
        <f t="shared" ca="1" si="39"/>
        <v>0.94959872242170251</v>
      </c>
      <c r="Q74" s="21">
        <f t="shared" ca="1" si="39"/>
        <v>0.54995880420298848</v>
      </c>
      <c r="R74" s="185">
        <f t="shared" ca="1" si="39"/>
        <v>0.80753933944319556</v>
      </c>
      <c r="S74" s="187">
        <f t="shared" ca="1" si="20"/>
        <v>10.929257357406764</v>
      </c>
      <c r="T74" s="181"/>
    </row>
    <row r="75" spans="1:20" s="17" customFormat="1" x14ac:dyDescent="0.25">
      <c r="A75" s="17">
        <f>IF(AND(D75&lt;&gt;"",C75=""),A74+1,A74)</f>
        <v>7</v>
      </c>
      <c r="B75" s="5"/>
      <c r="C75" s="5"/>
      <c r="D75" s="5" t="str">
        <f t="shared" si="24"/>
        <v>x</v>
      </c>
      <c r="E75" s="5"/>
      <c r="F75" s="23" t="str">
        <f>INDEX(PropertyList!$D:$D,MATCH(Summary!$A75,PropertyList!$C:$C,0))</f>
        <v>Fountain Circle Care and Rehabilitation Center</v>
      </c>
      <c r="G75" s="11"/>
      <c r="H75" s="182"/>
      <c r="I75" s="11"/>
      <c r="J75" s="182"/>
      <c r="K75" s="11"/>
      <c r="L75" s="182"/>
      <c r="M75" s="11"/>
      <c r="N75" s="182"/>
      <c r="O75" s="11"/>
      <c r="P75" s="182"/>
      <c r="Q75" s="11"/>
      <c r="R75" s="182"/>
      <c r="S75" s="187">
        <f t="shared" ref="S75:S138" si="40">SUM(G75:R75)</f>
        <v>0</v>
      </c>
      <c r="T75" s="181"/>
    </row>
    <row r="76" spans="1:20" s="17" customFormat="1" x14ac:dyDescent="0.25">
      <c r="A76" s="17">
        <f>IF(AND(F76&lt;&gt;"",D76=""),A75+1,A75)</f>
        <v>7</v>
      </c>
      <c r="C76" t="str">
        <f>$F75</f>
        <v>Fountain Circle Care and Rehabilitation Center</v>
      </c>
      <c r="D76" s="3" t="str">
        <f t="shared" si="24"/>
        <v>PAY_PAT_DAYS - Total Payor Patient Days</v>
      </c>
      <c r="F76" s="24" t="str">
        <f>_xll.EVDES(D76)</f>
        <v>Total Payor Patient Days</v>
      </c>
      <c r="G76" s="19">
        <f ca="1">SUMIFS(OFFSET('BPC Data'!$F:$F,0,Summary!G$2),'BPC Data'!$E:$E,Summary!$D76,'BPC Data'!$B:$B,Summary!$C76)</f>
        <v>3718</v>
      </c>
      <c r="H76" s="183">
        <f ca="1">SUMIFS(OFFSET('BPC Data'!$F:$F,0,Summary!H$2),'BPC Data'!$E:$E,Summary!$D76,'BPC Data'!$B:$B,Summary!$C76)</f>
        <v>3665</v>
      </c>
      <c r="I76" s="19">
        <f ca="1">SUMIFS(OFFSET('BPC Data'!$F:$F,0,Summary!I$2),'BPC Data'!$E:$E,Summary!$D76,'BPC Data'!$B:$B,Summary!$C76)</f>
        <v>3546</v>
      </c>
      <c r="J76" s="183">
        <f ca="1">SUMIFS(OFFSET('BPC Data'!$F:$F,0,Summary!J$2),'BPC Data'!$E:$E,Summary!$D76,'BPC Data'!$B:$B,Summary!$C76)</f>
        <v>3771</v>
      </c>
      <c r="K76" s="19">
        <f ca="1">SUMIFS(OFFSET('BPC Data'!$F:$F,0,Summary!K$2),'BPC Data'!$E:$E,Summary!$D76,'BPC Data'!$B:$B,Summary!$C76)</f>
        <v>3801</v>
      </c>
      <c r="L76" s="183">
        <f ca="1">SUMIFS(OFFSET('BPC Data'!$F:$F,0,Summary!L$2),'BPC Data'!$E:$E,Summary!$D76,'BPC Data'!$B:$B,Summary!$C76)</f>
        <v>3432</v>
      </c>
      <c r="M76" s="19">
        <f ca="1">SUMIFS(OFFSET('BPC Data'!$F:$F,0,Summary!M$2),'BPC Data'!$E:$E,Summary!$D76,'BPC Data'!$B:$B,Summary!$C76)</f>
        <v>3806</v>
      </c>
      <c r="N76" s="183">
        <f ca="1">SUMIFS(OFFSET('BPC Data'!$F:$F,0,Summary!N$2),'BPC Data'!$E:$E,Summary!$D76,'BPC Data'!$B:$B,Summary!$C76)</f>
        <v>3797</v>
      </c>
      <c r="O76" s="19">
        <f ca="1">SUMIFS(OFFSET('BPC Data'!$F:$F,0,Summary!O$2),'BPC Data'!$E:$E,Summary!$D76,'BPC Data'!$B:$B,Summary!$C76)</f>
        <v>3766</v>
      </c>
      <c r="P76" s="183">
        <f ca="1">SUMIFS(OFFSET('BPC Data'!$F:$F,0,Summary!P$2),'BPC Data'!$E:$E,Summary!$D76,'BPC Data'!$B:$B,Summary!$C76)</f>
        <v>3899</v>
      </c>
      <c r="Q76" s="19">
        <f ca="1">SUMIFS(OFFSET('BPC Data'!$F:$F,0,Summary!Q$2),'BPC Data'!$E:$E,Summary!$D76,'BPC Data'!$B:$B,Summary!$C76)</f>
        <v>4222</v>
      </c>
      <c r="R76" s="183">
        <f ca="1">SUMIFS(OFFSET('BPC Data'!$F:$F,0,Summary!R$2),'BPC Data'!$E:$E,Summary!$D76,'BPC Data'!$B:$B,Summary!$C76)</f>
        <v>3979</v>
      </c>
      <c r="S76" s="187">
        <f t="shared" ca="1" si="40"/>
        <v>45402</v>
      </c>
      <c r="T76" s="181"/>
    </row>
    <row r="77" spans="1:20" s="17" customFormat="1" x14ac:dyDescent="0.25">
      <c r="A77" s="17">
        <f t="shared" ref="A77:A85" si="41">IF(AND(F77&lt;&gt;"",D77=""),A76+1,A76)</f>
        <v>7</v>
      </c>
      <c r="C77" t="str">
        <f>$F75</f>
        <v>Fountain Circle Care and Rehabilitation Center</v>
      </c>
      <c r="D77" s="3" t="str">
        <f t="shared" si="24"/>
        <v>A_BEDS_TOTAL - Total Available Beds</v>
      </c>
      <c r="F77" s="24" t="str">
        <f>_xll.EVDES(D77)</f>
        <v>Total Available Beds</v>
      </c>
      <c r="G77" s="19">
        <f ca="1">SUMIFS(OFFSET('BPC Data'!$F:$F,0,Summary!G$2),'BPC Data'!$E:$E,Summary!$D77,'BPC Data'!$B:$B,Summary!$C77)</f>
        <v>147</v>
      </c>
      <c r="H77" s="183">
        <f ca="1">SUMIFS(OFFSET('BPC Data'!$F:$F,0,Summary!H$2),'BPC Data'!$E:$E,Summary!$D77,'BPC Data'!$B:$B,Summary!$C77)</f>
        <v>147</v>
      </c>
      <c r="I77" s="19">
        <f ca="1">SUMIFS(OFFSET('BPC Data'!$F:$F,0,Summary!I$2),'BPC Data'!$E:$E,Summary!$D77,'BPC Data'!$B:$B,Summary!$C77)</f>
        <v>147</v>
      </c>
      <c r="J77" s="183">
        <f ca="1">SUMIFS(OFFSET('BPC Data'!$F:$F,0,Summary!J$2),'BPC Data'!$E:$E,Summary!$D77,'BPC Data'!$B:$B,Summary!$C77)</f>
        <v>147</v>
      </c>
      <c r="K77" s="19">
        <f ca="1">SUMIFS(OFFSET('BPC Data'!$F:$F,0,Summary!K$2),'BPC Data'!$E:$E,Summary!$D77,'BPC Data'!$B:$B,Summary!$C77)</f>
        <v>147</v>
      </c>
      <c r="L77" s="183">
        <f ca="1">SUMIFS(OFFSET('BPC Data'!$F:$F,0,Summary!L$2),'BPC Data'!$E:$E,Summary!$D77,'BPC Data'!$B:$B,Summary!$C77)</f>
        <v>147</v>
      </c>
      <c r="M77" s="19">
        <f ca="1">SUMIFS(OFFSET('BPC Data'!$F:$F,0,Summary!M$2),'BPC Data'!$E:$E,Summary!$D77,'BPC Data'!$B:$B,Summary!$C77)</f>
        <v>147</v>
      </c>
      <c r="N77" s="183">
        <f ca="1">SUMIFS(OFFSET('BPC Data'!$F:$F,0,Summary!N$2),'BPC Data'!$E:$E,Summary!$D77,'BPC Data'!$B:$B,Summary!$C77)</f>
        <v>147</v>
      </c>
      <c r="O77" s="19">
        <f ca="1">SUMIFS(OFFSET('BPC Data'!$F:$F,0,Summary!O$2),'BPC Data'!$E:$E,Summary!$D77,'BPC Data'!$B:$B,Summary!$C77)</f>
        <v>147</v>
      </c>
      <c r="P77" s="183">
        <f ca="1">SUMIFS(OFFSET('BPC Data'!$F:$F,0,Summary!P$2),'BPC Data'!$E:$E,Summary!$D77,'BPC Data'!$B:$B,Summary!$C77)</f>
        <v>147</v>
      </c>
      <c r="Q77" s="19">
        <f ca="1">SUMIFS(OFFSET('BPC Data'!$F:$F,0,Summary!Q$2),'BPC Data'!$E:$E,Summary!$D77,'BPC Data'!$B:$B,Summary!$C77)</f>
        <v>147</v>
      </c>
      <c r="R77" s="183">
        <f ca="1">SUMIFS(OFFSET('BPC Data'!$F:$F,0,Summary!R$2),'BPC Data'!$E:$E,Summary!$D77,'BPC Data'!$B:$B,Summary!$C77)</f>
        <v>147</v>
      </c>
      <c r="S77" s="187">
        <f ca="1">R77</f>
        <v>147</v>
      </c>
      <c r="T77" s="181"/>
    </row>
    <row r="78" spans="1:20" s="17" customFormat="1" x14ac:dyDescent="0.25">
      <c r="A78" s="17">
        <f t="shared" si="41"/>
        <v>7</v>
      </c>
      <c r="B78"/>
      <c r="C78" t="str">
        <f>$F75</f>
        <v>Fountain Circle Care and Rehabilitation Center</v>
      </c>
      <c r="D78" s="3" t="str">
        <f t="shared" si="24"/>
        <v>T_REVENUES - Total Tenant Revenues</v>
      </c>
      <c r="E78"/>
      <c r="F78" s="24" t="str">
        <f>_xll.EVDES(D78)</f>
        <v>Total Tenant Revenues</v>
      </c>
      <c r="G78" s="19">
        <f ca="1">SUMIFS(OFFSET('BPC Data'!$F:$F,0,Summary!G$2),'BPC Data'!$E:$E,Summary!$D78,'BPC Data'!$B:$B,Summary!$C78)</f>
        <v>1085421</v>
      </c>
      <c r="H78" s="183">
        <f ca="1">SUMIFS(OFFSET('BPC Data'!$F:$F,0,Summary!H$2),'BPC Data'!$E:$E,Summary!$D78,'BPC Data'!$B:$B,Summary!$C78)</f>
        <v>1136082</v>
      </c>
      <c r="I78" s="19">
        <f ca="1">SUMIFS(OFFSET('BPC Data'!$F:$F,0,Summary!I$2),'BPC Data'!$E:$E,Summary!$D78,'BPC Data'!$B:$B,Summary!$C78)</f>
        <v>1151537</v>
      </c>
      <c r="J78" s="183">
        <f ca="1">SUMIFS(OFFSET('BPC Data'!$F:$F,0,Summary!J$2),'BPC Data'!$E:$E,Summary!$D78,'BPC Data'!$B:$B,Summary!$C78)</f>
        <v>1386159</v>
      </c>
      <c r="K78" s="19">
        <f ca="1">SUMIFS(OFFSET('BPC Data'!$F:$F,0,Summary!K$2),'BPC Data'!$E:$E,Summary!$D78,'BPC Data'!$B:$B,Summary!$C78)</f>
        <v>1181037</v>
      </c>
      <c r="L78" s="183">
        <f ca="1">SUMIFS(OFFSET('BPC Data'!$F:$F,0,Summary!L$2),'BPC Data'!$E:$E,Summary!$D78,'BPC Data'!$B:$B,Summary!$C78)</f>
        <v>1068714</v>
      </c>
      <c r="M78" s="19">
        <f ca="1">SUMIFS(OFFSET('BPC Data'!$F:$F,0,Summary!M$2),'BPC Data'!$E:$E,Summary!$D78,'BPC Data'!$B:$B,Summary!$C78)</f>
        <v>1330269</v>
      </c>
      <c r="N78" s="183">
        <f ca="1">SUMIFS(OFFSET('BPC Data'!$F:$F,0,Summary!N$2),'BPC Data'!$E:$E,Summary!$D78,'BPC Data'!$B:$B,Summary!$C78)</f>
        <v>1211256</v>
      </c>
      <c r="O78" s="19">
        <f ca="1">SUMIFS(OFFSET('BPC Data'!$F:$F,0,Summary!O$2),'BPC Data'!$E:$E,Summary!$D78,'BPC Data'!$B:$B,Summary!$C78)</f>
        <v>1221669</v>
      </c>
      <c r="P78" s="183">
        <f ca="1">SUMIFS(OFFSET('BPC Data'!$F:$F,0,Summary!P$2),'BPC Data'!$E:$E,Summary!$D78,'BPC Data'!$B:$B,Summary!$C78)</f>
        <v>1209229</v>
      </c>
      <c r="Q78" s="19">
        <f ca="1">SUMIFS(OFFSET('BPC Data'!$F:$F,0,Summary!Q$2),'BPC Data'!$E:$E,Summary!$D78,'BPC Data'!$B:$B,Summary!$C78)</f>
        <v>1296965</v>
      </c>
      <c r="R78" s="183">
        <f ca="1">SUMIFS(OFFSET('BPC Data'!$F:$F,0,Summary!R$2),'BPC Data'!$E:$E,Summary!$D78,'BPC Data'!$B:$B,Summary!$C78)</f>
        <v>1228422</v>
      </c>
      <c r="S78" s="187">
        <f t="shared" ca="1" si="40"/>
        <v>14506760</v>
      </c>
      <c r="T78" s="181"/>
    </row>
    <row r="79" spans="1:20" s="17" customFormat="1" x14ac:dyDescent="0.25">
      <c r="A79" s="17">
        <f t="shared" si="41"/>
        <v>7</v>
      </c>
      <c r="B79"/>
      <c r="C79" t="str">
        <f>$F75</f>
        <v>Fountain Circle Care and Rehabilitation Center</v>
      </c>
      <c r="D79" s="3" t="str">
        <f t="shared" si="24"/>
        <v>T_OPEX - Tenant Operating Expenses</v>
      </c>
      <c r="E79"/>
      <c r="F79" s="24" t="str">
        <f>_xll.EVDES(D79)</f>
        <v>Tenant Operating Expenses</v>
      </c>
      <c r="G79" s="19">
        <f ca="1">SUMIFS(OFFSET('BPC Data'!$F:$F,0,Summary!G$2),'BPC Data'!$E:$E,Summary!$D79,'BPC Data'!$B:$B,Summary!$C79)</f>
        <v>933458</v>
      </c>
      <c r="H79" s="183">
        <f ca="1">SUMIFS(OFFSET('BPC Data'!$F:$F,0,Summary!H$2),'BPC Data'!$E:$E,Summary!$D79,'BPC Data'!$B:$B,Summary!$C79)</f>
        <v>1037337</v>
      </c>
      <c r="I79" s="19">
        <f ca="1">SUMIFS(OFFSET('BPC Data'!$F:$F,0,Summary!I$2),'BPC Data'!$E:$E,Summary!$D79,'BPC Data'!$B:$B,Summary!$C79)</f>
        <v>1030635</v>
      </c>
      <c r="J79" s="183">
        <f ca="1">SUMIFS(OFFSET('BPC Data'!$F:$F,0,Summary!J$2),'BPC Data'!$E:$E,Summary!$D79,'BPC Data'!$B:$B,Summary!$C79)</f>
        <v>1418432</v>
      </c>
      <c r="K79" s="19">
        <f ca="1">SUMIFS(OFFSET('BPC Data'!$F:$F,0,Summary!K$2),'BPC Data'!$E:$E,Summary!$D79,'BPC Data'!$B:$B,Summary!$C79)</f>
        <v>1062173</v>
      </c>
      <c r="L79" s="183">
        <f ca="1">SUMIFS(OFFSET('BPC Data'!$F:$F,0,Summary!L$2),'BPC Data'!$E:$E,Summary!$D79,'BPC Data'!$B:$B,Summary!$C79)</f>
        <v>951411</v>
      </c>
      <c r="M79" s="19">
        <f ca="1">SUMIFS(OFFSET('BPC Data'!$F:$F,0,Summary!M$2),'BPC Data'!$E:$E,Summary!$D79,'BPC Data'!$B:$B,Summary!$C79)</f>
        <v>1051107</v>
      </c>
      <c r="N79" s="183">
        <f ca="1">SUMIFS(OFFSET('BPC Data'!$F:$F,0,Summary!N$2),'BPC Data'!$E:$E,Summary!$D79,'BPC Data'!$B:$B,Summary!$C79)</f>
        <v>963511</v>
      </c>
      <c r="O79" s="19">
        <f ca="1">SUMIFS(OFFSET('BPC Data'!$F:$F,0,Summary!O$2),'BPC Data'!$E:$E,Summary!$D79,'BPC Data'!$B:$B,Summary!$C79)</f>
        <v>980921</v>
      </c>
      <c r="P79" s="183">
        <f ca="1">SUMIFS(OFFSET('BPC Data'!$F:$F,0,Summary!P$2),'BPC Data'!$E:$E,Summary!$D79,'BPC Data'!$B:$B,Summary!$C79)</f>
        <v>960622</v>
      </c>
      <c r="Q79" s="19">
        <f ca="1">SUMIFS(OFFSET('BPC Data'!$F:$F,0,Summary!Q$2),'BPC Data'!$E:$E,Summary!$D79,'BPC Data'!$B:$B,Summary!$C79)</f>
        <v>934208</v>
      </c>
      <c r="R79" s="183">
        <f ca="1">SUMIFS(OFFSET('BPC Data'!$F:$F,0,Summary!R$2),'BPC Data'!$E:$E,Summary!$D79,'BPC Data'!$B:$B,Summary!$C79)</f>
        <v>948361</v>
      </c>
      <c r="S79" s="187">
        <f t="shared" ca="1" si="40"/>
        <v>12272176</v>
      </c>
      <c r="T79" s="181"/>
    </row>
    <row r="80" spans="1:20" s="17" customFormat="1" x14ac:dyDescent="0.25">
      <c r="A80" s="17">
        <f t="shared" si="41"/>
        <v>7</v>
      </c>
      <c r="B80"/>
      <c r="C80" t="str">
        <f>$F75</f>
        <v>Fountain Circle Care and Rehabilitation Center</v>
      </c>
      <c r="D80" s="3" t="str">
        <f t="shared" si="24"/>
        <v>T_BAD_DEBT - Tenant Bad Debt Expense</v>
      </c>
      <c r="E80"/>
      <c r="F80" s="24" t="str">
        <f>_xll.EVDES(D80)</f>
        <v>Tenant Bad Debt Expense</v>
      </c>
      <c r="G80" s="19">
        <f ca="1">SUMIFS(OFFSET('BPC Data'!$F:$F,0,Summary!G$2),'BPC Data'!$E:$E,Summary!$D80,'BPC Data'!$B:$B,Summary!$C80)</f>
        <v>-55958</v>
      </c>
      <c r="H80" s="183">
        <f ca="1">SUMIFS(OFFSET('BPC Data'!$F:$F,0,Summary!H$2),'BPC Data'!$E:$E,Summary!$D80,'BPC Data'!$B:$B,Summary!$C80)</f>
        <v>-5000</v>
      </c>
      <c r="I80" s="19">
        <f ca="1">SUMIFS(OFFSET('BPC Data'!$F:$F,0,Summary!I$2),'BPC Data'!$E:$E,Summary!$D80,'BPC Data'!$B:$B,Summary!$C80)</f>
        <v>-5000</v>
      </c>
      <c r="J80" s="183">
        <f ca="1">SUMIFS(OFFSET('BPC Data'!$F:$F,0,Summary!J$2),'BPC Data'!$E:$E,Summary!$D80,'BPC Data'!$B:$B,Summary!$C80)</f>
        <v>5964</v>
      </c>
      <c r="K80" s="19">
        <f ca="1">SUMIFS(OFFSET('BPC Data'!$F:$F,0,Summary!K$2),'BPC Data'!$E:$E,Summary!$D80,'BPC Data'!$B:$B,Summary!$C80)</f>
        <v>15000</v>
      </c>
      <c r="L80" s="183">
        <f ca="1">SUMIFS(OFFSET('BPC Data'!$F:$F,0,Summary!L$2),'BPC Data'!$E:$E,Summary!$D80,'BPC Data'!$B:$B,Summary!$C80)</f>
        <v>10000</v>
      </c>
      <c r="M80" s="19">
        <f ca="1">SUMIFS(OFFSET('BPC Data'!$F:$F,0,Summary!M$2),'BPC Data'!$E:$E,Summary!$D80,'BPC Data'!$B:$B,Summary!$C80)</f>
        <v>0</v>
      </c>
      <c r="N80" s="183">
        <f ca="1">SUMIFS(OFFSET('BPC Data'!$F:$F,0,Summary!N$2),'BPC Data'!$E:$E,Summary!$D80,'BPC Data'!$B:$B,Summary!$C80)</f>
        <v>0</v>
      </c>
      <c r="O80" s="19">
        <f ca="1">SUMIFS(OFFSET('BPC Data'!$F:$F,0,Summary!O$2),'BPC Data'!$E:$E,Summary!$D80,'BPC Data'!$B:$B,Summary!$C80)</f>
        <v>0</v>
      </c>
      <c r="P80" s="183">
        <f ca="1">SUMIFS(OFFSET('BPC Data'!$F:$F,0,Summary!P$2),'BPC Data'!$E:$E,Summary!$D80,'BPC Data'!$B:$B,Summary!$C80)</f>
        <v>0</v>
      </c>
      <c r="Q80" s="19">
        <f ca="1">SUMIFS(OFFSET('BPC Data'!$F:$F,0,Summary!Q$2),'BPC Data'!$E:$E,Summary!$D80,'BPC Data'!$B:$B,Summary!$C80)</f>
        <v>0</v>
      </c>
      <c r="R80" s="183">
        <f ca="1">SUMIFS(OFFSET('BPC Data'!$F:$F,0,Summary!R$2),'BPC Data'!$E:$E,Summary!$D80,'BPC Data'!$B:$B,Summary!$C80)</f>
        <v>5000</v>
      </c>
      <c r="S80" s="187">
        <f t="shared" ca="1" si="40"/>
        <v>-29994</v>
      </c>
      <c r="T80" s="181"/>
    </row>
    <row r="81" spans="1:20" s="17" customFormat="1" x14ac:dyDescent="0.25">
      <c r="A81" s="17">
        <f t="shared" si="41"/>
        <v>7</v>
      </c>
      <c r="B81"/>
      <c r="C81" t="str">
        <f>$F75</f>
        <v>Fountain Circle Care and Rehabilitation Center</v>
      </c>
      <c r="D81" s="2" t="str">
        <f t="shared" si="24"/>
        <v>T_EBITDARM - EBITDARM</v>
      </c>
      <c r="E81"/>
      <c r="F81" s="24" t="str">
        <f>_xll.EVDES(D81)</f>
        <v>EBITDARM</v>
      </c>
      <c r="G81" s="19">
        <f ca="1">SUMIFS(OFFSET('BPC Data'!$F:$F,0,Summary!G$2),'BPC Data'!$E:$E,Summary!$D81,'BPC Data'!$B:$B,Summary!$C81)</f>
        <v>151963</v>
      </c>
      <c r="H81" s="183">
        <f ca="1">SUMIFS(OFFSET('BPC Data'!$F:$F,0,Summary!H$2),'BPC Data'!$E:$E,Summary!$D81,'BPC Data'!$B:$B,Summary!$C81)</f>
        <v>98745</v>
      </c>
      <c r="I81" s="19">
        <f ca="1">SUMIFS(OFFSET('BPC Data'!$F:$F,0,Summary!I$2),'BPC Data'!$E:$E,Summary!$D81,'BPC Data'!$B:$B,Summary!$C81)</f>
        <v>120902</v>
      </c>
      <c r="J81" s="183">
        <f ca="1">SUMIFS(OFFSET('BPC Data'!$F:$F,0,Summary!J$2),'BPC Data'!$E:$E,Summary!$D81,'BPC Data'!$B:$B,Summary!$C81)</f>
        <v>-32273</v>
      </c>
      <c r="K81" s="19">
        <f ca="1">SUMIFS(OFFSET('BPC Data'!$F:$F,0,Summary!K$2),'BPC Data'!$E:$E,Summary!$D81,'BPC Data'!$B:$B,Summary!$C81)</f>
        <v>118864</v>
      </c>
      <c r="L81" s="183">
        <f ca="1">SUMIFS(OFFSET('BPC Data'!$F:$F,0,Summary!L$2),'BPC Data'!$E:$E,Summary!$D81,'BPC Data'!$B:$B,Summary!$C81)</f>
        <v>117303</v>
      </c>
      <c r="M81" s="19">
        <f ca="1">SUMIFS(OFFSET('BPC Data'!$F:$F,0,Summary!M$2),'BPC Data'!$E:$E,Summary!$D81,'BPC Data'!$B:$B,Summary!$C81)</f>
        <v>279162</v>
      </c>
      <c r="N81" s="183">
        <f ca="1">SUMIFS(OFFSET('BPC Data'!$F:$F,0,Summary!N$2),'BPC Data'!$E:$E,Summary!$D81,'BPC Data'!$B:$B,Summary!$C81)</f>
        <v>247745</v>
      </c>
      <c r="O81" s="19">
        <f ca="1">SUMIFS(OFFSET('BPC Data'!$F:$F,0,Summary!O$2),'BPC Data'!$E:$E,Summary!$D81,'BPC Data'!$B:$B,Summary!$C81)</f>
        <v>240748</v>
      </c>
      <c r="P81" s="183">
        <f ca="1">SUMIFS(OFFSET('BPC Data'!$F:$F,0,Summary!P$2),'BPC Data'!$E:$E,Summary!$D81,'BPC Data'!$B:$B,Summary!$C81)</f>
        <v>248607</v>
      </c>
      <c r="Q81" s="19">
        <f ca="1">SUMIFS(OFFSET('BPC Data'!$F:$F,0,Summary!Q$2),'BPC Data'!$E:$E,Summary!$D81,'BPC Data'!$B:$B,Summary!$C81)</f>
        <v>362757</v>
      </c>
      <c r="R81" s="183">
        <f ca="1">SUMIFS(OFFSET('BPC Data'!$F:$F,0,Summary!R$2),'BPC Data'!$E:$E,Summary!$D81,'BPC Data'!$B:$B,Summary!$C81)</f>
        <v>280061</v>
      </c>
      <c r="S81" s="187">
        <f t="shared" ca="1" si="40"/>
        <v>2234584</v>
      </c>
      <c r="T81" s="181"/>
    </row>
    <row r="82" spans="1:20" s="17" customFormat="1" x14ac:dyDescent="0.25">
      <c r="A82" s="17">
        <f t="shared" si="41"/>
        <v>7</v>
      </c>
      <c r="B82"/>
      <c r="C82" t="str">
        <f>$F75</f>
        <v>Fountain Circle Care and Rehabilitation Center</v>
      </c>
      <c r="D82" s="2" t="str">
        <f t="shared" si="24"/>
        <v>T_MGMT_FEE - Tenant Management Fee - Actual</v>
      </c>
      <c r="E82"/>
      <c r="F82" s="24" t="str">
        <f>_xll.EVDES(D82)</f>
        <v>Tenant Management Fee - Actual</v>
      </c>
      <c r="G82" s="19">
        <f ca="1">SUMIFS(OFFSET('BPC Data'!$F:$F,0,Summary!G$2),'BPC Data'!$E:$E,Summary!$D82,'BPC Data'!$B:$B,Summary!$C82)</f>
        <v>54707</v>
      </c>
      <c r="H82" s="183">
        <f ca="1">SUMIFS(OFFSET('BPC Data'!$F:$F,0,Summary!H$2),'BPC Data'!$E:$E,Summary!$D82,'BPC Data'!$B:$B,Summary!$C82)</f>
        <v>57372</v>
      </c>
      <c r="I82" s="19">
        <f ca="1">SUMIFS(OFFSET('BPC Data'!$F:$F,0,Summary!I$2),'BPC Data'!$E:$E,Summary!$D82,'BPC Data'!$B:$B,Summary!$C82)</f>
        <v>58153</v>
      </c>
      <c r="J82" s="183">
        <f ca="1">SUMIFS(OFFSET('BPC Data'!$F:$F,0,Summary!J$2),'BPC Data'!$E:$E,Summary!$D82,'BPC Data'!$B:$B,Summary!$C82)</f>
        <v>62005</v>
      </c>
      <c r="K82" s="19">
        <f ca="1">SUMIFS(OFFSET('BPC Data'!$F:$F,0,Summary!K$2),'BPC Data'!$E:$E,Summary!$D82,'BPC Data'!$B:$B,Summary!$C82)</f>
        <v>59771</v>
      </c>
      <c r="L82" s="183">
        <f ca="1">SUMIFS(OFFSET('BPC Data'!$F:$F,0,Summary!L$2),'BPC Data'!$E:$E,Summary!$D82,'BPC Data'!$B:$B,Summary!$C82)</f>
        <v>53970</v>
      </c>
      <c r="M82" s="19">
        <f ca="1">SUMIFS(OFFSET('BPC Data'!$F:$F,0,Summary!M$2),'BPC Data'!$E:$E,Summary!$D82,'BPC Data'!$B:$B,Summary!$C82)</f>
        <v>67179</v>
      </c>
      <c r="N82" s="183">
        <f ca="1">SUMIFS(OFFSET('BPC Data'!$F:$F,0,Summary!N$2),'BPC Data'!$E:$E,Summary!$D82,'BPC Data'!$B:$B,Summary!$C82)</f>
        <v>61168</v>
      </c>
      <c r="O82" s="19">
        <f ca="1">SUMIFS(OFFSET('BPC Data'!$F:$F,0,Summary!O$2),'BPC Data'!$E:$E,Summary!$D82,'BPC Data'!$B:$B,Summary!$C82)</f>
        <v>61694</v>
      </c>
      <c r="P82" s="183">
        <f ca="1">SUMIFS(OFFSET('BPC Data'!$F:$F,0,Summary!P$2),'BPC Data'!$E:$E,Summary!$D82,'BPC Data'!$B:$B,Summary!$C82)</f>
        <v>61066</v>
      </c>
      <c r="Q82" s="19">
        <f ca="1">SUMIFS(OFFSET('BPC Data'!$F:$F,0,Summary!Q$2),'BPC Data'!$E:$E,Summary!$D82,'BPC Data'!$B:$B,Summary!$C82)</f>
        <v>65497</v>
      </c>
      <c r="R82" s="183">
        <f ca="1">SUMIFS(OFFSET('BPC Data'!$F:$F,0,Summary!R$2),'BPC Data'!$E:$E,Summary!$D82,'BPC Data'!$B:$B,Summary!$C82)</f>
        <v>62035</v>
      </c>
      <c r="S82" s="187">
        <f t="shared" ca="1" si="40"/>
        <v>724617</v>
      </c>
      <c r="T82" s="181"/>
    </row>
    <row r="83" spans="1:20" s="17" customFormat="1" x14ac:dyDescent="0.25">
      <c r="A83" s="17">
        <f t="shared" si="41"/>
        <v>7</v>
      </c>
      <c r="B83"/>
      <c r="C83" t="str">
        <f>$F75</f>
        <v>Fountain Circle Care and Rehabilitation Center</v>
      </c>
      <c r="D83" s="1" t="str">
        <f t="shared" si="24"/>
        <v>T_EBITDAR - EBITDAR</v>
      </c>
      <c r="E83"/>
      <c r="F83" s="24" t="str">
        <f>_xll.EVDES(D83)</f>
        <v>EBITDAR</v>
      </c>
      <c r="G83" s="19">
        <f ca="1">SUMIFS(OFFSET('BPC Data'!$F:$F,0,Summary!G$2),'BPC Data'!$E:$E,Summary!$D83,'BPC Data'!$B:$B,Summary!$C83)</f>
        <v>97256</v>
      </c>
      <c r="H83" s="183">
        <f ca="1">SUMIFS(OFFSET('BPC Data'!$F:$F,0,Summary!H$2),'BPC Data'!$E:$E,Summary!$D83,'BPC Data'!$B:$B,Summary!$C83)</f>
        <v>41373</v>
      </c>
      <c r="I83" s="19">
        <f ca="1">SUMIFS(OFFSET('BPC Data'!$F:$F,0,Summary!I$2),'BPC Data'!$E:$E,Summary!$D83,'BPC Data'!$B:$B,Summary!$C83)</f>
        <v>62749</v>
      </c>
      <c r="J83" s="183">
        <f ca="1">SUMIFS(OFFSET('BPC Data'!$F:$F,0,Summary!J$2),'BPC Data'!$E:$E,Summary!$D83,'BPC Data'!$B:$B,Summary!$C83)</f>
        <v>-94278</v>
      </c>
      <c r="K83" s="19">
        <f ca="1">SUMIFS(OFFSET('BPC Data'!$F:$F,0,Summary!K$2),'BPC Data'!$E:$E,Summary!$D83,'BPC Data'!$B:$B,Summary!$C83)</f>
        <v>59093</v>
      </c>
      <c r="L83" s="183">
        <f ca="1">SUMIFS(OFFSET('BPC Data'!$F:$F,0,Summary!L$2),'BPC Data'!$E:$E,Summary!$D83,'BPC Data'!$B:$B,Summary!$C83)</f>
        <v>63333</v>
      </c>
      <c r="M83" s="19">
        <f ca="1">SUMIFS(OFFSET('BPC Data'!$F:$F,0,Summary!M$2),'BPC Data'!$E:$E,Summary!$D83,'BPC Data'!$B:$B,Summary!$C83)</f>
        <v>211983</v>
      </c>
      <c r="N83" s="183">
        <f ca="1">SUMIFS(OFFSET('BPC Data'!$F:$F,0,Summary!N$2),'BPC Data'!$E:$E,Summary!$D83,'BPC Data'!$B:$B,Summary!$C83)</f>
        <v>186577</v>
      </c>
      <c r="O83" s="19">
        <f ca="1">SUMIFS(OFFSET('BPC Data'!$F:$F,0,Summary!O$2),'BPC Data'!$E:$E,Summary!$D83,'BPC Data'!$B:$B,Summary!$C83)</f>
        <v>179054</v>
      </c>
      <c r="P83" s="183">
        <f ca="1">SUMIFS(OFFSET('BPC Data'!$F:$F,0,Summary!P$2),'BPC Data'!$E:$E,Summary!$D83,'BPC Data'!$B:$B,Summary!$C83)</f>
        <v>187541</v>
      </c>
      <c r="Q83" s="19">
        <f ca="1">SUMIFS(OFFSET('BPC Data'!$F:$F,0,Summary!Q$2),'BPC Data'!$E:$E,Summary!$D83,'BPC Data'!$B:$B,Summary!$C83)</f>
        <v>297260</v>
      </c>
      <c r="R83" s="183">
        <f ca="1">SUMIFS(OFFSET('BPC Data'!$F:$F,0,Summary!R$2),'BPC Data'!$E:$E,Summary!$D83,'BPC Data'!$B:$B,Summary!$C83)</f>
        <v>218026</v>
      </c>
      <c r="S83" s="187">
        <f t="shared" ca="1" si="40"/>
        <v>1509967</v>
      </c>
      <c r="T83" s="181"/>
    </row>
    <row r="84" spans="1:20" s="17" customFormat="1" x14ac:dyDescent="0.25">
      <c r="A84" s="17">
        <f t="shared" si="41"/>
        <v>7</v>
      </c>
      <c r="B84"/>
      <c r="C84" t="str">
        <f>$F75</f>
        <v>Fountain Circle Care and Rehabilitation Center</v>
      </c>
      <c r="D84" s="1" t="str">
        <f t="shared" si="24"/>
        <v>T_RENT_EXP - Tenant Rent Expense</v>
      </c>
      <c r="E84"/>
      <c r="F84" s="24" t="str">
        <f>_xll.EVDES(D84)</f>
        <v>Tenant Rent Expense</v>
      </c>
      <c r="G84" s="19">
        <f ca="1">SUMIFS(OFFSET('BPC Data'!$F:$F,0,Summary!G$2),'BPC Data'!$E:$E,Summary!$D84,'BPC Data'!$B:$B,Summary!$C84)</f>
        <v>5253</v>
      </c>
      <c r="H84" s="183">
        <f ca="1">SUMIFS(OFFSET('BPC Data'!$F:$F,0,Summary!H$2),'BPC Data'!$E:$E,Summary!$D84,'BPC Data'!$B:$B,Summary!$C84)</f>
        <v>5253</v>
      </c>
      <c r="I84" s="19">
        <f ca="1">SUMIFS(OFFSET('BPC Data'!$F:$F,0,Summary!I$2),'BPC Data'!$E:$E,Summary!$D84,'BPC Data'!$B:$B,Summary!$C84)</f>
        <v>5253</v>
      </c>
      <c r="J84" s="183">
        <f ca="1">SUMIFS(OFFSET('BPC Data'!$F:$F,0,Summary!J$2),'BPC Data'!$E:$E,Summary!$D84,'BPC Data'!$B:$B,Summary!$C84)</f>
        <v>5384</v>
      </c>
      <c r="K84" s="19">
        <f ca="1">SUMIFS(OFFSET('BPC Data'!$F:$F,0,Summary!K$2),'BPC Data'!$E:$E,Summary!$D84,'BPC Data'!$B:$B,Summary!$C84)</f>
        <v>5384</v>
      </c>
      <c r="L84" s="183">
        <f ca="1">SUMIFS(OFFSET('BPC Data'!$F:$F,0,Summary!L$2),'BPC Data'!$E:$E,Summary!$D84,'BPC Data'!$B:$B,Summary!$C84)</f>
        <v>5384</v>
      </c>
      <c r="M84" s="19">
        <f ca="1">SUMIFS(OFFSET('BPC Data'!$F:$F,0,Summary!M$2),'BPC Data'!$E:$E,Summary!$D84,'BPC Data'!$B:$B,Summary!$C84)</f>
        <v>5384</v>
      </c>
      <c r="N84" s="183">
        <f ca="1">SUMIFS(OFFSET('BPC Data'!$F:$F,0,Summary!N$2),'BPC Data'!$E:$E,Summary!$D84,'BPC Data'!$B:$B,Summary!$C84)</f>
        <v>5384</v>
      </c>
      <c r="O84" s="19">
        <f ca="1">SUMIFS(OFFSET('BPC Data'!$F:$F,0,Summary!O$2),'BPC Data'!$E:$E,Summary!$D84,'BPC Data'!$B:$B,Summary!$C84)</f>
        <v>5384</v>
      </c>
      <c r="P84" s="183">
        <f ca="1">SUMIFS(OFFSET('BPC Data'!$F:$F,0,Summary!P$2),'BPC Data'!$E:$E,Summary!$D84,'BPC Data'!$B:$B,Summary!$C84)</f>
        <v>5384</v>
      </c>
      <c r="Q84" s="19">
        <f ca="1">SUMIFS(OFFSET('BPC Data'!$F:$F,0,Summary!Q$2),'BPC Data'!$E:$E,Summary!$D84,'BPC Data'!$B:$B,Summary!$C84)</f>
        <v>5384</v>
      </c>
      <c r="R84" s="183">
        <f ca="1">SUMIFS(OFFSET('BPC Data'!$F:$F,0,Summary!R$2),'BPC Data'!$E:$E,Summary!$D84,'BPC Data'!$B:$B,Summary!$C84)</f>
        <v>5384</v>
      </c>
      <c r="S84" s="187">
        <f t="shared" ca="1" si="40"/>
        <v>64215</v>
      </c>
      <c r="T84" s="181"/>
    </row>
    <row r="85" spans="1:20" s="17" customFormat="1" x14ac:dyDescent="0.25">
      <c r="A85" s="17">
        <f t="shared" si="41"/>
        <v>7</v>
      </c>
      <c r="B85"/>
      <c r="C85"/>
      <c r="D85" s="1" t="str">
        <f t="shared" si="24"/>
        <v>x</v>
      </c>
      <c r="E85"/>
      <c r="F85" s="24" t="s">
        <v>0</v>
      </c>
      <c r="G85" s="12">
        <f ca="1">G83/G84</f>
        <v>18.514372739387017</v>
      </c>
      <c r="H85" s="184">
        <f t="shared" ref="H85:I85" ca="1" si="42">H83/H84</f>
        <v>7.8760708166761848</v>
      </c>
      <c r="I85" s="12">
        <f t="shared" ca="1" si="42"/>
        <v>11.945364553588426</v>
      </c>
      <c r="J85" s="184">
        <f t="shared" ref="J85:R85" ca="1" si="43">J83/J84</f>
        <v>-17.510772659732542</v>
      </c>
      <c r="K85" s="12">
        <f t="shared" ca="1" si="43"/>
        <v>10.975668647845469</v>
      </c>
      <c r="L85" s="184">
        <f t="shared" ca="1" si="43"/>
        <v>11.763187221396731</v>
      </c>
      <c r="M85" s="12">
        <f t="shared" ca="1" si="43"/>
        <v>39.372771173848442</v>
      </c>
      <c r="N85" s="184">
        <f t="shared" ca="1" si="43"/>
        <v>34.65397473997028</v>
      </c>
      <c r="O85" s="12">
        <f t="shared" ca="1" si="43"/>
        <v>33.256686478454682</v>
      </c>
      <c r="P85" s="184">
        <f t="shared" ca="1" si="43"/>
        <v>34.833023774145616</v>
      </c>
      <c r="Q85" s="12">
        <f t="shared" ca="1" si="43"/>
        <v>55.211738484398218</v>
      </c>
      <c r="R85" s="184">
        <f t="shared" ca="1" si="43"/>
        <v>40.495170876671622</v>
      </c>
      <c r="S85" s="187">
        <f t="shared" ca="1" si="40"/>
        <v>281.38725684665013</v>
      </c>
      <c r="T85" s="181"/>
    </row>
    <row r="86" spans="1:20" s="17" customFormat="1" x14ac:dyDescent="0.25">
      <c r="A86" s="17">
        <f>IF(AND(D86&lt;&gt;"",C86=""),A85+1,A85)</f>
        <v>8</v>
      </c>
      <c r="B86" s="5"/>
      <c r="C86" s="5"/>
      <c r="D86" s="5" t="str">
        <f t="shared" ref="D86:D149" si="44">$D75</f>
        <v>x</v>
      </c>
      <c r="E86" s="5"/>
      <c r="F86" s="23" t="str">
        <f>INDEX(PropertyList!$D:$D,MATCH(Summary!$A86,PropertyList!$C:$C,0))</f>
        <v>Riverside Care &amp; Rehabilitation Center</v>
      </c>
      <c r="G86" s="11"/>
      <c r="H86" s="182"/>
      <c r="I86" s="11"/>
      <c r="J86" s="182"/>
      <c r="K86" s="11"/>
      <c r="L86" s="182"/>
      <c r="M86" s="11"/>
      <c r="N86" s="182"/>
      <c r="O86" s="11"/>
      <c r="P86" s="182"/>
      <c r="Q86" s="11"/>
      <c r="R86" s="182"/>
      <c r="S86" s="187">
        <f t="shared" si="40"/>
        <v>0</v>
      </c>
      <c r="T86" s="181"/>
    </row>
    <row r="87" spans="1:20" s="17" customFormat="1" x14ac:dyDescent="0.25">
      <c r="A87" s="17">
        <f>IF(AND(F87&lt;&gt;"",D87=""),A86+1,A86)</f>
        <v>8</v>
      </c>
      <c r="C87" t="str">
        <f>$F86</f>
        <v>Riverside Care &amp; Rehabilitation Center</v>
      </c>
      <c r="D87" s="3" t="str">
        <f t="shared" si="44"/>
        <v>PAY_PAT_DAYS - Total Payor Patient Days</v>
      </c>
      <c r="F87" s="24" t="str">
        <f>_xll.EVDES(D87)</f>
        <v>Total Payor Patient Days</v>
      </c>
      <c r="G87" s="19">
        <f ca="1">SUMIFS(OFFSET('BPC Data'!$F:$F,0,Summary!G$2),'BPC Data'!$E:$E,Summary!$D87,'BPC Data'!$B:$B,Summary!$C87)</f>
        <v>1996</v>
      </c>
      <c r="H87" s="183">
        <f ca="1">SUMIFS(OFFSET('BPC Data'!$F:$F,0,Summary!H$2),'BPC Data'!$E:$E,Summary!$D87,'BPC Data'!$B:$B,Summary!$C87)</f>
        <v>2033</v>
      </c>
      <c r="I87" s="19">
        <f ca="1">SUMIFS(OFFSET('BPC Data'!$F:$F,0,Summary!I$2),'BPC Data'!$E:$E,Summary!$D87,'BPC Data'!$B:$B,Summary!$C87)</f>
        <v>1660</v>
      </c>
      <c r="J87" s="183">
        <f ca="1">SUMIFS(OFFSET('BPC Data'!$F:$F,0,Summary!J$2),'BPC Data'!$E:$E,Summary!$D87,'BPC Data'!$B:$B,Summary!$C87)</f>
        <v>1884</v>
      </c>
      <c r="K87" s="19">
        <f ca="1">SUMIFS(OFFSET('BPC Data'!$F:$F,0,Summary!K$2),'BPC Data'!$E:$E,Summary!$D87,'BPC Data'!$B:$B,Summary!$C87)</f>
        <v>2025</v>
      </c>
      <c r="L87" s="183">
        <f ca="1">SUMIFS(OFFSET('BPC Data'!$F:$F,0,Summary!L$2),'BPC Data'!$E:$E,Summary!$D87,'BPC Data'!$B:$B,Summary!$C87)</f>
        <v>1744</v>
      </c>
      <c r="M87" s="19">
        <f ca="1">SUMIFS(OFFSET('BPC Data'!$F:$F,0,Summary!M$2),'BPC Data'!$E:$E,Summary!$D87,'BPC Data'!$B:$B,Summary!$C87)</f>
        <v>1861</v>
      </c>
      <c r="N87" s="183">
        <f ca="1">SUMIFS(OFFSET('BPC Data'!$F:$F,0,Summary!N$2),'BPC Data'!$E:$E,Summary!$D87,'BPC Data'!$B:$B,Summary!$C87)</f>
        <v>1930</v>
      </c>
      <c r="O87" s="19">
        <f ca="1">SUMIFS(OFFSET('BPC Data'!$F:$F,0,Summary!O$2),'BPC Data'!$E:$E,Summary!$D87,'BPC Data'!$B:$B,Summary!$C87)</f>
        <v>2140</v>
      </c>
      <c r="P87" s="183">
        <f ca="1">SUMIFS(OFFSET('BPC Data'!$F:$F,0,Summary!P$2),'BPC Data'!$E:$E,Summary!$D87,'BPC Data'!$B:$B,Summary!$C87)</f>
        <v>2036</v>
      </c>
      <c r="Q87" s="19">
        <f ca="1">SUMIFS(OFFSET('BPC Data'!$F:$F,0,Summary!Q$2),'BPC Data'!$E:$E,Summary!$D87,'BPC Data'!$B:$B,Summary!$C87)</f>
        <v>2193</v>
      </c>
      <c r="R87" s="183">
        <f ca="1">SUMIFS(OFFSET('BPC Data'!$F:$F,0,Summary!R$2),'BPC Data'!$E:$E,Summary!$D87,'BPC Data'!$B:$B,Summary!$C87)</f>
        <v>2176</v>
      </c>
      <c r="S87" s="187">
        <f t="shared" ca="1" si="40"/>
        <v>23678</v>
      </c>
      <c r="T87" s="181"/>
    </row>
    <row r="88" spans="1:20" s="17" customFormat="1" x14ac:dyDescent="0.25">
      <c r="A88" s="17">
        <f t="shared" ref="A88:A96" si="45">IF(AND(F88&lt;&gt;"",D88=""),A87+1,A87)</f>
        <v>8</v>
      </c>
      <c r="C88" t="str">
        <f>$F86</f>
        <v>Riverside Care &amp; Rehabilitation Center</v>
      </c>
      <c r="D88" s="3" t="str">
        <f t="shared" si="44"/>
        <v>A_BEDS_TOTAL - Total Available Beds</v>
      </c>
      <c r="F88" s="24" t="str">
        <f>_xll.EVDES(D88)</f>
        <v>Total Available Beds</v>
      </c>
      <c r="G88" s="19">
        <f ca="1">SUMIFS(OFFSET('BPC Data'!$F:$F,0,Summary!G$2),'BPC Data'!$E:$E,Summary!$D88,'BPC Data'!$B:$B,Summary!$C88)</f>
        <v>79</v>
      </c>
      <c r="H88" s="183">
        <f ca="1">SUMIFS(OFFSET('BPC Data'!$F:$F,0,Summary!H$2),'BPC Data'!$E:$E,Summary!$D88,'BPC Data'!$B:$B,Summary!$C88)</f>
        <v>79</v>
      </c>
      <c r="I88" s="19">
        <f ca="1">SUMIFS(OFFSET('BPC Data'!$F:$F,0,Summary!I$2),'BPC Data'!$E:$E,Summary!$D88,'BPC Data'!$B:$B,Summary!$C88)</f>
        <v>79</v>
      </c>
      <c r="J88" s="183">
        <f ca="1">SUMIFS(OFFSET('BPC Data'!$F:$F,0,Summary!J$2),'BPC Data'!$E:$E,Summary!$D88,'BPC Data'!$B:$B,Summary!$C88)</f>
        <v>79</v>
      </c>
      <c r="K88" s="19">
        <f ca="1">SUMIFS(OFFSET('BPC Data'!$F:$F,0,Summary!K$2),'BPC Data'!$E:$E,Summary!$D88,'BPC Data'!$B:$B,Summary!$C88)</f>
        <v>79</v>
      </c>
      <c r="L88" s="183">
        <f ca="1">SUMIFS(OFFSET('BPC Data'!$F:$F,0,Summary!L$2),'BPC Data'!$E:$E,Summary!$D88,'BPC Data'!$B:$B,Summary!$C88)</f>
        <v>79</v>
      </c>
      <c r="M88" s="19">
        <f ca="1">SUMIFS(OFFSET('BPC Data'!$F:$F,0,Summary!M$2),'BPC Data'!$E:$E,Summary!$D88,'BPC Data'!$B:$B,Summary!$C88)</f>
        <v>79</v>
      </c>
      <c r="N88" s="183">
        <f ca="1">SUMIFS(OFFSET('BPC Data'!$F:$F,0,Summary!N$2),'BPC Data'!$E:$E,Summary!$D88,'BPC Data'!$B:$B,Summary!$C88)</f>
        <v>79</v>
      </c>
      <c r="O88" s="19">
        <f ca="1">SUMIFS(OFFSET('BPC Data'!$F:$F,0,Summary!O$2),'BPC Data'!$E:$E,Summary!$D88,'BPC Data'!$B:$B,Summary!$C88)</f>
        <v>79</v>
      </c>
      <c r="P88" s="183">
        <f ca="1">SUMIFS(OFFSET('BPC Data'!$F:$F,0,Summary!P$2),'BPC Data'!$E:$E,Summary!$D88,'BPC Data'!$B:$B,Summary!$C88)</f>
        <v>79</v>
      </c>
      <c r="Q88" s="19">
        <f ca="1">SUMIFS(OFFSET('BPC Data'!$F:$F,0,Summary!Q$2),'BPC Data'!$E:$E,Summary!$D88,'BPC Data'!$B:$B,Summary!$C88)</f>
        <v>79</v>
      </c>
      <c r="R88" s="183">
        <f ca="1">SUMIFS(OFFSET('BPC Data'!$F:$F,0,Summary!R$2),'BPC Data'!$E:$E,Summary!$D88,'BPC Data'!$B:$B,Summary!$C88)</f>
        <v>79</v>
      </c>
      <c r="S88" s="187">
        <f ca="1">R88</f>
        <v>79</v>
      </c>
      <c r="T88" s="181"/>
    </row>
    <row r="89" spans="1:20" s="17" customFormat="1" x14ac:dyDescent="0.25">
      <c r="A89" s="17">
        <f t="shared" si="45"/>
        <v>8</v>
      </c>
      <c r="B89"/>
      <c r="C89" t="str">
        <f>$F86</f>
        <v>Riverside Care &amp; Rehabilitation Center</v>
      </c>
      <c r="D89" s="3" t="str">
        <f t="shared" si="44"/>
        <v>T_REVENUES - Total Tenant Revenues</v>
      </c>
      <c r="E89"/>
      <c r="F89" s="24" t="str">
        <f>_xll.EVDES(D89)</f>
        <v>Total Tenant Revenues</v>
      </c>
      <c r="G89" s="19">
        <f ca="1">SUMIFS(OFFSET('BPC Data'!$F:$F,0,Summary!G$2),'BPC Data'!$E:$E,Summary!$D89,'BPC Data'!$B:$B,Summary!$C89)</f>
        <v>673157</v>
      </c>
      <c r="H89" s="183">
        <f ca="1">SUMIFS(OFFSET('BPC Data'!$F:$F,0,Summary!H$2),'BPC Data'!$E:$E,Summary!$D89,'BPC Data'!$B:$B,Summary!$C89)</f>
        <v>613454</v>
      </c>
      <c r="I89" s="19">
        <f ca="1">SUMIFS(OFFSET('BPC Data'!$F:$F,0,Summary!I$2),'BPC Data'!$E:$E,Summary!$D89,'BPC Data'!$B:$B,Summary!$C89)</f>
        <v>757197</v>
      </c>
      <c r="J89" s="183">
        <f ca="1">SUMIFS(OFFSET('BPC Data'!$F:$F,0,Summary!J$2),'BPC Data'!$E:$E,Summary!$D89,'BPC Data'!$B:$B,Summary!$C89)</f>
        <v>857004</v>
      </c>
      <c r="K89" s="19">
        <f ca="1">SUMIFS(OFFSET('BPC Data'!$F:$F,0,Summary!K$2),'BPC Data'!$E:$E,Summary!$D89,'BPC Data'!$B:$B,Summary!$C89)</f>
        <v>597286</v>
      </c>
      <c r="L89" s="183">
        <f ca="1">SUMIFS(OFFSET('BPC Data'!$F:$F,0,Summary!L$2),'BPC Data'!$E:$E,Summary!$D89,'BPC Data'!$B:$B,Summary!$C89)</f>
        <v>490243</v>
      </c>
      <c r="M89" s="19">
        <f ca="1">SUMIFS(OFFSET('BPC Data'!$F:$F,0,Summary!M$2),'BPC Data'!$E:$E,Summary!$D89,'BPC Data'!$B:$B,Summary!$C89)</f>
        <v>656006</v>
      </c>
      <c r="N89" s="183">
        <f ca="1">SUMIFS(OFFSET('BPC Data'!$F:$F,0,Summary!N$2),'BPC Data'!$E:$E,Summary!$D89,'BPC Data'!$B:$B,Summary!$C89)</f>
        <v>586275</v>
      </c>
      <c r="O89" s="19">
        <f ca="1">SUMIFS(OFFSET('BPC Data'!$F:$F,0,Summary!O$2),'BPC Data'!$E:$E,Summary!$D89,'BPC Data'!$B:$B,Summary!$C89)</f>
        <v>646292</v>
      </c>
      <c r="P89" s="183">
        <f ca="1">SUMIFS(OFFSET('BPC Data'!$F:$F,0,Summary!P$2),'BPC Data'!$E:$E,Summary!$D89,'BPC Data'!$B:$B,Summary!$C89)</f>
        <v>601552</v>
      </c>
      <c r="Q89" s="19">
        <f ca="1">SUMIFS(OFFSET('BPC Data'!$F:$F,0,Summary!Q$2),'BPC Data'!$E:$E,Summary!$D89,'BPC Data'!$B:$B,Summary!$C89)</f>
        <v>691001</v>
      </c>
      <c r="R89" s="183">
        <f ca="1">SUMIFS(OFFSET('BPC Data'!$F:$F,0,Summary!R$2),'BPC Data'!$E:$E,Summary!$D89,'BPC Data'!$B:$B,Summary!$C89)</f>
        <v>659864</v>
      </c>
      <c r="S89" s="187">
        <f t="shared" ca="1" si="40"/>
        <v>7829331</v>
      </c>
      <c r="T89" s="181"/>
    </row>
    <row r="90" spans="1:20" s="17" customFormat="1" x14ac:dyDescent="0.25">
      <c r="A90" s="17">
        <f t="shared" si="45"/>
        <v>8</v>
      </c>
      <c r="B90"/>
      <c r="C90" t="str">
        <f>$F86</f>
        <v>Riverside Care &amp; Rehabilitation Center</v>
      </c>
      <c r="D90" s="3" t="str">
        <f t="shared" si="44"/>
        <v>T_OPEX - Tenant Operating Expenses</v>
      </c>
      <c r="E90"/>
      <c r="F90" s="24" t="str">
        <f>_xll.EVDES(D90)</f>
        <v>Tenant Operating Expenses</v>
      </c>
      <c r="G90" s="19">
        <f ca="1">SUMIFS(OFFSET('BPC Data'!$F:$F,0,Summary!G$2),'BPC Data'!$E:$E,Summary!$D90,'BPC Data'!$B:$B,Summary!$C90)</f>
        <v>471914</v>
      </c>
      <c r="H90" s="183">
        <f ca="1">SUMIFS(OFFSET('BPC Data'!$F:$F,0,Summary!H$2),'BPC Data'!$E:$E,Summary!$D90,'BPC Data'!$B:$B,Summary!$C90)</f>
        <v>506806</v>
      </c>
      <c r="I90" s="19">
        <f ca="1">SUMIFS(OFFSET('BPC Data'!$F:$F,0,Summary!I$2),'BPC Data'!$E:$E,Summary!$D90,'BPC Data'!$B:$B,Summary!$C90)</f>
        <v>548655</v>
      </c>
      <c r="J90" s="183">
        <f ca="1">SUMIFS(OFFSET('BPC Data'!$F:$F,0,Summary!J$2),'BPC Data'!$E:$E,Summary!$D90,'BPC Data'!$B:$B,Summary!$C90)</f>
        <v>591263</v>
      </c>
      <c r="K90" s="19">
        <f ca="1">SUMIFS(OFFSET('BPC Data'!$F:$F,0,Summary!K$2),'BPC Data'!$E:$E,Summary!$D90,'BPC Data'!$B:$B,Summary!$C90)</f>
        <v>496889</v>
      </c>
      <c r="L90" s="183">
        <f ca="1">SUMIFS(OFFSET('BPC Data'!$F:$F,0,Summary!L$2),'BPC Data'!$E:$E,Summary!$D90,'BPC Data'!$B:$B,Summary!$C90)</f>
        <v>438153</v>
      </c>
      <c r="M90" s="19">
        <f ca="1">SUMIFS(OFFSET('BPC Data'!$F:$F,0,Summary!M$2),'BPC Data'!$E:$E,Summary!$D90,'BPC Data'!$B:$B,Summary!$C90)</f>
        <v>474550</v>
      </c>
      <c r="N90" s="183">
        <f ca="1">SUMIFS(OFFSET('BPC Data'!$F:$F,0,Summary!N$2),'BPC Data'!$E:$E,Summary!$D90,'BPC Data'!$B:$B,Summary!$C90)</f>
        <v>455014</v>
      </c>
      <c r="O90" s="19">
        <f ca="1">SUMIFS(OFFSET('BPC Data'!$F:$F,0,Summary!O$2),'BPC Data'!$E:$E,Summary!$D90,'BPC Data'!$B:$B,Summary!$C90)</f>
        <v>441532</v>
      </c>
      <c r="P90" s="183">
        <f ca="1">SUMIFS(OFFSET('BPC Data'!$F:$F,0,Summary!P$2),'BPC Data'!$E:$E,Summary!$D90,'BPC Data'!$B:$B,Summary!$C90)</f>
        <v>460290</v>
      </c>
      <c r="Q90" s="19">
        <f ca="1">SUMIFS(OFFSET('BPC Data'!$F:$F,0,Summary!Q$2),'BPC Data'!$E:$E,Summary!$D90,'BPC Data'!$B:$B,Summary!$C90)</f>
        <v>476312</v>
      </c>
      <c r="R90" s="183">
        <f ca="1">SUMIFS(OFFSET('BPC Data'!$F:$F,0,Summary!R$2),'BPC Data'!$E:$E,Summary!$D90,'BPC Data'!$B:$B,Summary!$C90)</f>
        <v>488065</v>
      </c>
      <c r="S90" s="187">
        <f t="shared" ca="1" si="40"/>
        <v>5849443</v>
      </c>
      <c r="T90" s="181"/>
    </row>
    <row r="91" spans="1:20" s="17" customFormat="1" x14ac:dyDescent="0.25">
      <c r="A91" s="17">
        <f t="shared" si="45"/>
        <v>8</v>
      </c>
      <c r="B91"/>
      <c r="C91" t="str">
        <f>$F86</f>
        <v>Riverside Care &amp; Rehabilitation Center</v>
      </c>
      <c r="D91" s="3" t="str">
        <f t="shared" si="44"/>
        <v>T_BAD_DEBT - Tenant Bad Debt Expense</v>
      </c>
      <c r="E91"/>
      <c r="F91" s="24" t="str">
        <f>_xll.EVDES(D91)</f>
        <v>Tenant Bad Debt Expense</v>
      </c>
      <c r="G91" s="19">
        <f ca="1">SUMIFS(OFFSET('BPC Data'!$F:$F,0,Summary!G$2),'BPC Data'!$E:$E,Summary!$D91,'BPC Data'!$B:$B,Summary!$C91)</f>
        <v>5000</v>
      </c>
      <c r="H91" s="183">
        <f ca="1">SUMIFS(OFFSET('BPC Data'!$F:$F,0,Summary!H$2),'BPC Data'!$E:$E,Summary!$D91,'BPC Data'!$B:$B,Summary!$C91)</f>
        <v>2500</v>
      </c>
      <c r="I91" s="19">
        <f ca="1">SUMIFS(OFFSET('BPC Data'!$F:$F,0,Summary!I$2),'BPC Data'!$E:$E,Summary!$D91,'BPC Data'!$B:$B,Summary!$C91)</f>
        <v>-2500</v>
      </c>
      <c r="J91" s="183">
        <f ca="1">SUMIFS(OFFSET('BPC Data'!$F:$F,0,Summary!J$2),'BPC Data'!$E:$E,Summary!$D91,'BPC Data'!$B:$B,Summary!$C91)</f>
        <v>6124</v>
      </c>
      <c r="K91" s="19">
        <f ca="1">SUMIFS(OFFSET('BPC Data'!$F:$F,0,Summary!K$2),'BPC Data'!$E:$E,Summary!$D91,'BPC Data'!$B:$B,Summary!$C91)</f>
        <v>9500</v>
      </c>
      <c r="L91" s="183">
        <f ca="1">SUMIFS(OFFSET('BPC Data'!$F:$F,0,Summary!L$2),'BPC Data'!$E:$E,Summary!$D91,'BPC Data'!$B:$B,Summary!$C91)</f>
        <v>7500</v>
      </c>
      <c r="M91" s="19">
        <f ca="1">SUMIFS(OFFSET('BPC Data'!$F:$F,0,Summary!M$2),'BPC Data'!$E:$E,Summary!$D91,'BPC Data'!$B:$B,Summary!$C91)</f>
        <v>0</v>
      </c>
      <c r="N91" s="183">
        <f ca="1">SUMIFS(OFFSET('BPC Data'!$F:$F,0,Summary!N$2),'BPC Data'!$E:$E,Summary!$D91,'BPC Data'!$B:$B,Summary!$C91)</f>
        <v>0</v>
      </c>
      <c r="O91" s="19">
        <f ca="1">SUMIFS(OFFSET('BPC Data'!$F:$F,0,Summary!O$2),'BPC Data'!$E:$E,Summary!$D91,'BPC Data'!$B:$B,Summary!$C91)</f>
        <v>0</v>
      </c>
      <c r="P91" s="183">
        <f ca="1">SUMIFS(OFFSET('BPC Data'!$F:$F,0,Summary!P$2),'BPC Data'!$E:$E,Summary!$D91,'BPC Data'!$B:$B,Summary!$C91)</f>
        <v>0</v>
      </c>
      <c r="Q91" s="19">
        <f ca="1">SUMIFS(OFFSET('BPC Data'!$F:$F,0,Summary!Q$2),'BPC Data'!$E:$E,Summary!$D91,'BPC Data'!$B:$B,Summary!$C91)</f>
        <v>0</v>
      </c>
      <c r="R91" s="183">
        <f ca="1">SUMIFS(OFFSET('BPC Data'!$F:$F,0,Summary!R$2),'BPC Data'!$E:$E,Summary!$D91,'BPC Data'!$B:$B,Summary!$C91)</f>
        <v>0</v>
      </c>
      <c r="S91" s="187">
        <f t="shared" ca="1" si="40"/>
        <v>28124</v>
      </c>
      <c r="T91" s="181"/>
    </row>
    <row r="92" spans="1:20" s="17" customFormat="1" x14ac:dyDescent="0.25">
      <c r="A92" s="17">
        <f t="shared" si="45"/>
        <v>8</v>
      </c>
      <c r="B92"/>
      <c r="C92" t="str">
        <f>$F86</f>
        <v>Riverside Care &amp; Rehabilitation Center</v>
      </c>
      <c r="D92" s="2" t="str">
        <f t="shared" si="44"/>
        <v>T_EBITDARM - EBITDARM</v>
      </c>
      <c r="E92"/>
      <c r="F92" s="24" t="str">
        <f>_xll.EVDES(D92)</f>
        <v>EBITDARM</v>
      </c>
      <c r="G92" s="19">
        <f ca="1">SUMIFS(OFFSET('BPC Data'!$F:$F,0,Summary!G$2),'BPC Data'!$E:$E,Summary!$D92,'BPC Data'!$B:$B,Summary!$C92)</f>
        <v>201243</v>
      </c>
      <c r="H92" s="183">
        <f ca="1">SUMIFS(OFFSET('BPC Data'!$F:$F,0,Summary!H$2),'BPC Data'!$E:$E,Summary!$D92,'BPC Data'!$B:$B,Summary!$C92)</f>
        <v>106648</v>
      </c>
      <c r="I92" s="19">
        <f ca="1">SUMIFS(OFFSET('BPC Data'!$F:$F,0,Summary!I$2),'BPC Data'!$E:$E,Summary!$D92,'BPC Data'!$B:$B,Summary!$C92)</f>
        <v>208542</v>
      </c>
      <c r="J92" s="183">
        <f ca="1">SUMIFS(OFFSET('BPC Data'!$F:$F,0,Summary!J$2),'BPC Data'!$E:$E,Summary!$D92,'BPC Data'!$B:$B,Summary!$C92)</f>
        <v>265741</v>
      </c>
      <c r="K92" s="19">
        <f ca="1">SUMIFS(OFFSET('BPC Data'!$F:$F,0,Summary!K$2),'BPC Data'!$E:$E,Summary!$D92,'BPC Data'!$B:$B,Summary!$C92)</f>
        <v>100397</v>
      </c>
      <c r="L92" s="183">
        <f ca="1">SUMIFS(OFFSET('BPC Data'!$F:$F,0,Summary!L$2),'BPC Data'!$E:$E,Summary!$D92,'BPC Data'!$B:$B,Summary!$C92)</f>
        <v>52090</v>
      </c>
      <c r="M92" s="19">
        <f ca="1">SUMIFS(OFFSET('BPC Data'!$F:$F,0,Summary!M$2),'BPC Data'!$E:$E,Summary!$D92,'BPC Data'!$B:$B,Summary!$C92)</f>
        <v>181456</v>
      </c>
      <c r="N92" s="183">
        <f ca="1">SUMIFS(OFFSET('BPC Data'!$F:$F,0,Summary!N$2),'BPC Data'!$E:$E,Summary!$D92,'BPC Data'!$B:$B,Summary!$C92)</f>
        <v>131261</v>
      </c>
      <c r="O92" s="19">
        <f ca="1">SUMIFS(OFFSET('BPC Data'!$F:$F,0,Summary!O$2),'BPC Data'!$E:$E,Summary!$D92,'BPC Data'!$B:$B,Summary!$C92)</f>
        <v>204760</v>
      </c>
      <c r="P92" s="183">
        <f ca="1">SUMIFS(OFFSET('BPC Data'!$F:$F,0,Summary!P$2),'BPC Data'!$E:$E,Summary!$D92,'BPC Data'!$B:$B,Summary!$C92)</f>
        <v>141262</v>
      </c>
      <c r="Q92" s="19">
        <f ca="1">SUMIFS(OFFSET('BPC Data'!$F:$F,0,Summary!Q$2),'BPC Data'!$E:$E,Summary!$D92,'BPC Data'!$B:$B,Summary!$C92)</f>
        <v>214689</v>
      </c>
      <c r="R92" s="183">
        <f ca="1">SUMIFS(OFFSET('BPC Data'!$F:$F,0,Summary!R$2),'BPC Data'!$E:$E,Summary!$D92,'BPC Data'!$B:$B,Summary!$C92)</f>
        <v>171799</v>
      </c>
      <c r="S92" s="187">
        <f t="shared" ca="1" si="40"/>
        <v>1979888</v>
      </c>
      <c r="T92" s="181"/>
    </row>
    <row r="93" spans="1:20" s="17" customFormat="1" x14ac:dyDescent="0.25">
      <c r="A93" s="17">
        <f t="shared" si="45"/>
        <v>8</v>
      </c>
      <c r="B93"/>
      <c r="C93" t="str">
        <f>$F86</f>
        <v>Riverside Care &amp; Rehabilitation Center</v>
      </c>
      <c r="D93" s="2" t="str">
        <f t="shared" si="44"/>
        <v>T_MGMT_FEE - Tenant Management Fee - Actual</v>
      </c>
      <c r="E93"/>
      <c r="F93" s="24" t="str">
        <f>_xll.EVDES(D93)</f>
        <v>Tenant Management Fee - Actual</v>
      </c>
      <c r="G93" s="19">
        <f ca="1">SUMIFS(OFFSET('BPC Data'!$F:$F,0,Summary!G$2),'BPC Data'!$E:$E,Summary!$D93,'BPC Data'!$B:$B,Summary!$C93)</f>
        <v>33485</v>
      </c>
      <c r="H93" s="183">
        <f ca="1">SUMIFS(OFFSET('BPC Data'!$F:$F,0,Summary!H$2),'BPC Data'!$E:$E,Summary!$D93,'BPC Data'!$B:$B,Summary!$C93)</f>
        <v>30979</v>
      </c>
      <c r="I93" s="19">
        <f ca="1">SUMIFS(OFFSET('BPC Data'!$F:$F,0,Summary!I$2),'BPC Data'!$E:$E,Summary!$D93,'BPC Data'!$B:$B,Summary!$C93)</f>
        <v>38238</v>
      </c>
      <c r="J93" s="183">
        <f ca="1">SUMIFS(OFFSET('BPC Data'!$F:$F,0,Summary!J$2),'BPC Data'!$E:$E,Summary!$D93,'BPC Data'!$B:$B,Summary!$C93)</f>
        <v>37686</v>
      </c>
      <c r="K93" s="19">
        <f ca="1">SUMIFS(OFFSET('BPC Data'!$F:$F,0,Summary!K$2),'BPC Data'!$E:$E,Summary!$D93,'BPC Data'!$B:$B,Summary!$C93)</f>
        <v>30163</v>
      </c>
      <c r="L93" s="183">
        <f ca="1">SUMIFS(OFFSET('BPC Data'!$F:$F,0,Summary!L$2),'BPC Data'!$E:$E,Summary!$D93,'BPC Data'!$B:$B,Summary!$C93)</f>
        <v>24757</v>
      </c>
      <c r="M93" s="19">
        <f ca="1">SUMIFS(OFFSET('BPC Data'!$F:$F,0,Summary!M$2),'BPC Data'!$E:$E,Summary!$D93,'BPC Data'!$B:$B,Summary!$C93)</f>
        <v>33128</v>
      </c>
      <c r="N93" s="183">
        <f ca="1">SUMIFS(OFFSET('BPC Data'!$F:$F,0,Summary!N$2),'BPC Data'!$E:$E,Summary!$D93,'BPC Data'!$B:$B,Summary!$C93)</f>
        <v>29607</v>
      </c>
      <c r="O93" s="19">
        <f ca="1">SUMIFS(OFFSET('BPC Data'!$F:$F,0,Summary!O$2),'BPC Data'!$E:$E,Summary!$D93,'BPC Data'!$B:$B,Summary!$C93)</f>
        <v>32638</v>
      </c>
      <c r="P93" s="183">
        <f ca="1">SUMIFS(OFFSET('BPC Data'!$F:$F,0,Summary!P$2),'BPC Data'!$E:$E,Summary!$D93,'BPC Data'!$B:$B,Summary!$C93)</f>
        <v>30378</v>
      </c>
      <c r="Q93" s="19">
        <f ca="1">SUMIFS(OFFSET('BPC Data'!$F:$F,0,Summary!Q$2),'BPC Data'!$E:$E,Summary!$D93,'BPC Data'!$B:$B,Summary!$C93)</f>
        <v>34895</v>
      </c>
      <c r="R93" s="183">
        <f ca="1">SUMIFS(OFFSET('BPC Data'!$F:$F,0,Summary!R$2),'BPC Data'!$E:$E,Summary!$D93,'BPC Data'!$B:$B,Summary!$C93)</f>
        <v>33323</v>
      </c>
      <c r="S93" s="187">
        <f t="shared" ca="1" si="40"/>
        <v>389277</v>
      </c>
      <c r="T93" s="181"/>
    </row>
    <row r="94" spans="1:20" s="17" customFormat="1" x14ac:dyDescent="0.25">
      <c r="A94" s="17">
        <f t="shared" si="45"/>
        <v>8</v>
      </c>
      <c r="B94"/>
      <c r="C94" t="str">
        <f>$F86</f>
        <v>Riverside Care &amp; Rehabilitation Center</v>
      </c>
      <c r="D94" s="1" t="str">
        <f t="shared" si="44"/>
        <v>T_EBITDAR - EBITDAR</v>
      </c>
      <c r="E94"/>
      <c r="F94" s="24" t="str">
        <f>_xll.EVDES(D94)</f>
        <v>EBITDAR</v>
      </c>
      <c r="G94" s="19">
        <f ca="1">SUMIFS(OFFSET('BPC Data'!$F:$F,0,Summary!G$2),'BPC Data'!$E:$E,Summary!$D94,'BPC Data'!$B:$B,Summary!$C94)</f>
        <v>167758</v>
      </c>
      <c r="H94" s="183">
        <f ca="1">SUMIFS(OFFSET('BPC Data'!$F:$F,0,Summary!H$2),'BPC Data'!$E:$E,Summary!$D94,'BPC Data'!$B:$B,Summary!$C94)</f>
        <v>75669</v>
      </c>
      <c r="I94" s="19">
        <f ca="1">SUMIFS(OFFSET('BPC Data'!$F:$F,0,Summary!I$2),'BPC Data'!$E:$E,Summary!$D94,'BPC Data'!$B:$B,Summary!$C94)</f>
        <v>170304</v>
      </c>
      <c r="J94" s="183">
        <f ca="1">SUMIFS(OFFSET('BPC Data'!$F:$F,0,Summary!J$2),'BPC Data'!$E:$E,Summary!$D94,'BPC Data'!$B:$B,Summary!$C94)</f>
        <v>228055</v>
      </c>
      <c r="K94" s="19">
        <f ca="1">SUMIFS(OFFSET('BPC Data'!$F:$F,0,Summary!K$2),'BPC Data'!$E:$E,Summary!$D94,'BPC Data'!$B:$B,Summary!$C94)</f>
        <v>70234</v>
      </c>
      <c r="L94" s="183">
        <f ca="1">SUMIFS(OFFSET('BPC Data'!$F:$F,0,Summary!L$2),'BPC Data'!$E:$E,Summary!$D94,'BPC Data'!$B:$B,Summary!$C94)</f>
        <v>27333</v>
      </c>
      <c r="M94" s="19">
        <f ca="1">SUMIFS(OFFSET('BPC Data'!$F:$F,0,Summary!M$2),'BPC Data'!$E:$E,Summary!$D94,'BPC Data'!$B:$B,Summary!$C94)</f>
        <v>148328</v>
      </c>
      <c r="N94" s="183">
        <f ca="1">SUMIFS(OFFSET('BPC Data'!$F:$F,0,Summary!N$2),'BPC Data'!$E:$E,Summary!$D94,'BPC Data'!$B:$B,Summary!$C94)</f>
        <v>101654</v>
      </c>
      <c r="O94" s="19">
        <f ca="1">SUMIFS(OFFSET('BPC Data'!$F:$F,0,Summary!O$2),'BPC Data'!$E:$E,Summary!$D94,'BPC Data'!$B:$B,Summary!$C94)</f>
        <v>172122</v>
      </c>
      <c r="P94" s="183">
        <f ca="1">SUMIFS(OFFSET('BPC Data'!$F:$F,0,Summary!P$2),'BPC Data'!$E:$E,Summary!$D94,'BPC Data'!$B:$B,Summary!$C94)</f>
        <v>110884</v>
      </c>
      <c r="Q94" s="19">
        <f ca="1">SUMIFS(OFFSET('BPC Data'!$F:$F,0,Summary!Q$2),'BPC Data'!$E:$E,Summary!$D94,'BPC Data'!$B:$B,Summary!$C94)</f>
        <v>179794</v>
      </c>
      <c r="R94" s="183">
        <f ca="1">SUMIFS(OFFSET('BPC Data'!$F:$F,0,Summary!R$2),'BPC Data'!$E:$E,Summary!$D94,'BPC Data'!$B:$B,Summary!$C94)</f>
        <v>138476</v>
      </c>
      <c r="S94" s="187">
        <f t="shared" ca="1" si="40"/>
        <v>1590611</v>
      </c>
      <c r="T94" s="181"/>
    </row>
    <row r="95" spans="1:20" s="17" customFormat="1" x14ac:dyDescent="0.25">
      <c r="A95" s="17">
        <f t="shared" si="45"/>
        <v>8</v>
      </c>
      <c r="B95"/>
      <c r="C95" t="str">
        <f>$F86</f>
        <v>Riverside Care &amp; Rehabilitation Center</v>
      </c>
      <c r="D95" s="1" t="str">
        <f t="shared" si="44"/>
        <v>T_RENT_EXP - Tenant Rent Expense</v>
      </c>
      <c r="E95"/>
      <c r="F95" s="24" t="str">
        <f>_xll.EVDES(D95)</f>
        <v>Tenant Rent Expense</v>
      </c>
      <c r="G95" s="19">
        <f ca="1">SUMIFS(OFFSET('BPC Data'!$F:$F,0,Summary!G$2),'BPC Data'!$E:$E,Summary!$D95,'BPC Data'!$B:$B,Summary!$C95)</f>
        <v>151203</v>
      </c>
      <c r="H95" s="183">
        <f ca="1">SUMIFS(OFFSET('BPC Data'!$F:$F,0,Summary!H$2),'BPC Data'!$E:$E,Summary!$D95,'BPC Data'!$B:$B,Summary!$C95)</f>
        <v>151203</v>
      </c>
      <c r="I95" s="19">
        <f ca="1">SUMIFS(OFFSET('BPC Data'!$F:$F,0,Summary!I$2),'BPC Data'!$E:$E,Summary!$D95,'BPC Data'!$B:$B,Summary!$C95)</f>
        <v>151203</v>
      </c>
      <c r="J95" s="183">
        <f ca="1">SUMIFS(OFFSET('BPC Data'!$F:$F,0,Summary!J$2),'BPC Data'!$E:$E,Summary!$D95,'BPC Data'!$B:$B,Summary!$C95)</f>
        <v>154983</v>
      </c>
      <c r="K95" s="19">
        <f ca="1">SUMIFS(OFFSET('BPC Data'!$F:$F,0,Summary!K$2),'BPC Data'!$E:$E,Summary!$D95,'BPC Data'!$B:$B,Summary!$C95)</f>
        <v>154983</v>
      </c>
      <c r="L95" s="183">
        <f ca="1">SUMIFS(OFFSET('BPC Data'!$F:$F,0,Summary!L$2),'BPC Data'!$E:$E,Summary!$D95,'BPC Data'!$B:$B,Summary!$C95)</f>
        <v>154983</v>
      </c>
      <c r="M95" s="19">
        <f ca="1">SUMIFS(OFFSET('BPC Data'!$F:$F,0,Summary!M$2),'BPC Data'!$E:$E,Summary!$D95,'BPC Data'!$B:$B,Summary!$C95)</f>
        <v>154983</v>
      </c>
      <c r="N95" s="183">
        <f ca="1">SUMIFS(OFFSET('BPC Data'!$F:$F,0,Summary!N$2),'BPC Data'!$E:$E,Summary!$D95,'BPC Data'!$B:$B,Summary!$C95)</f>
        <v>154983</v>
      </c>
      <c r="O95" s="19">
        <f ca="1">SUMIFS(OFFSET('BPC Data'!$F:$F,0,Summary!O$2),'BPC Data'!$E:$E,Summary!$D95,'BPC Data'!$B:$B,Summary!$C95)</f>
        <v>154983</v>
      </c>
      <c r="P95" s="183">
        <f ca="1">SUMIFS(OFFSET('BPC Data'!$F:$F,0,Summary!P$2),'BPC Data'!$E:$E,Summary!$D95,'BPC Data'!$B:$B,Summary!$C95)</f>
        <v>154983</v>
      </c>
      <c r="Q95" s="19">
        <f ca="1">SUMIFS(OFFSET('BPC Data'!$F:$F,0,Summary!Q$2),'BPC Data'!$E:$E,Summary!$D95,'BPC Data'!$B:$B,Summary!$C95)</f>
        <v>154983</v>
      </c>
      <c r="R95" s="183">
        <f ca="1">SUMIFS(OFFSET('BPC Data'!$F:$F,0,Summary!R$2),'BPC Data'!$E:$E,Summary!$D95,'BPC Data'!$B:$B,Summary!$C95)</f>
        <v>154983</v>
      </c>
      <c r="S95" s="187">
        <f t="shared" ca="1" si="40"/>
        <v>1848456</v>
      </c>
      <c r="T95" s="181"/>
    </row>
    <row r="96" spans="1:20" s="17" customFormat="1" x14ac:dyDescent="0.25">
      <c r="A96" s="17">
        <f t="shared" si="45"/>
        <v>8</v>
      </c>
      <c r="B96"/>
      <c r="C96"/>
      <c r="D96" s="1" t="str">
        <f t="shared" si="44"/>
        <v>x</v>
      </c>
      <c r="E96"/>
      <c r="F96" s="24" t="s">
        <v>0</v>
      </c>
      <c r="G96" s="12">
        <f ca="1">G94/G95</f>
        <v>1.1094885683485116</v>
      </c>
      <c r="H96" s="184">
        <f t="shared" ref="H96:I96" ca="1" si="46">H94/H95</f>
        <v>0.50044641971389459</v>
      </c>
      <c r="I96" s="12">
        <f t="shared" ca="1" si="46"/>
        <v>1.1263268585940756</v>
      </c>
      <c r="J96" s="184">
        <f t="shared" ref="J96:R96" ca="1" si="47">J94/J95</f>
        <v>1.4714839692095263</v>
      </c>
      <c r="K96" s="12">
        <f t="shared" ca="1" si="47"/>
        <v>0.45317228341172905</v>
      </c>
      <c r="L96" s="184">
        <f t="shared" ca="1" si="47"/>
        <v>0.17636127833375273</v>
      </c>
      <c r="M96" s="12">
        <f t="shared" ca="1" si="47"/>
        <v>0.95705980655942913</v>
      </c>
      <c r="N96" s="184">
        <f t="shared" ca="1" si="47"/>
        <v>0.65590419594407123</v>
      </c>
      <c r="O96" s="12">
        <f t="shared" ca="1" si="47"/>
        <v>1.1105863223708408</v>
      </c>
      <c r="P96" s="184">
        <f t="shared" ca="1" si="47"/>
        <v>0.71545911487066327</v>
      </c>
      <c r="Q96" s="12">
        <f t="shared" ca="1" si="47"/>
        <v>1.1600885258383178</v>
      </c>
      <c r="R96" s="184">
        <f t="shared" ca="1" si="47"/>
        <v>0.89349154423388366</v>
      </c>
      <c r="S96" s="187">
        <f t="shared" ca="1" si="40"/>
        <v>10.329868887428697</v>
      </c>
      <c r="T96" s="181"/>
    </row>
    <row r="97" spans="1:20" s="17" customFormat="1" x14ac:dyDescent="0.25">
      <c r="A97" s="17">
        <f>IF(AND(D97&lt;&gt;"",C97=""),A96+1,A96)</f>
        <v>9</v>
      </c>
      <c r="B97" s="5"/>
      <c r="C97" s="5"/>
      <c r="D97" s="5" t="str">
        <f t="shared" si="44"/>
        <v>x</v>
      </c>
      <c r="E97" s="5"/>
      <c r="F97" s="23" t="str">
        <f>INDEX(PropertyList!$D:$D,MATCH(Summary!$A97,PropertyList!$C:$C,0))</f>
        <v>SHC of Bremen</v>
      </c>
      <c r="G97" s="11"/>
      <c r="H97" s="182"/>
      <c r="I97" s="11"/>
      <c r="J97" s="182"/>
      <c r="K97" s="11"/>
      <c r="L97" s="182"/>
      <c r="M97" s="11"/>
      <c r="N97" s="182"/>
      <c r="O97" s="11"/>
      <c r="P97" s="182"/>
      <c r="Q97" s="11"/>
      <c r="R97" s="182"/>
      <c r="S97" s="187">
        <f t="shared" si="40"/>
        <v>0</v>
      </c>
      <c r="T97" s="181"/>
    </row>
    <row r="98" spans="1:20" s="17" customFormat="1" x14ac:dyDescent="0.25">
      <c r="A98" s="17">
        <f>IF(AND(F98&lt;&gt;"",D98=""),A97+1,A97)</f>
        <v>9</v>
      </c>
      <c r="C98" t="str">
        <f>$F97</f>
        <v>SHC of Bremen</v>
      </c>
      <c r="D98" s="3" t="str">
        <f t="shared" si="44"/>
        <v>PAY_PAT_DAYS - Total Payor Patient Days</v>
      </c>
      <c r="F98" s="24" t="str">
        <f>_xll.EVDES(D98)</f>
        <v>Total Payor Patient Days</v>
      </c>
      <c r="G98" s="19">
        <f ca="1">SUMIFS(OFFSET('BPC Data'!$F:$F,0,Summary!G$2),'BPC Data'!$E:$E,Summary!$D98,'BPC Data'!$B:$B,Summary!$C98)</f>
        <v>2092</v>
      </c>
      <c r="H98" s="183">
        <f ca="1">SUMIFS(OFFSET('BPC Data'!$F:$F,0,Summary!H$2),'BPC Data'!$E:$E,Summary!$D98,'BPC Data'!$B:$B,Summary!$C98)</f>
        <v>2131</v>
      </c>
      <c r="I98" s="19">
        <f ca="1">SUMIFS(OFFSET('BPC Data'!$F:$F,0,Summary!I$2),'BPC Data'!$E:$E,Summary!$D98,'BPC Data'!$B:$B,Summary!$C98)</f>
        <v>2035</v>
      </c>
      <c r="J98" s="183">
        <f ca="1">SUMIFS(OFFSET('BPC Data'!$F:$F,0,Summary!J$2),'BPC Data'!$E:$E,Summary!$D98,'BPC Data'!$B:$B,Summary!$C98)</f>
        <v>1766</v>
      </c>
      <c r="K98" s="19">
        <f ca="1">SUMIFS(OFFSET('BPC Data'!$F:$F,0,Summary!K$2),'BPC Data'!$E:$E,Summary!$D98,'BPC Data'!$B:$B,Summary!$C98)</f>
        <v>1679</v>
      </c>
      <c r="L98" s="183">
        <f ca="1">SUMIFS(OFFSET('BPC Data'!$F:$F,0,Summary!L$2),'BPC Data'!$E:$E,Summary!$D98,'BPC Data'!$B:$B,Summary!$C98)</f>
        <v>1560</v>
      </c>
      <c r="M98" s="19">
        <f ca="1">SUMIFS(OFFSET('BPC Data'!$F:$F,0,Summary!M$2),'BPC Data'!$E:$E,Summary!$D98,'BPC Data'!$B:$B,Summary!$C98)</f>
        <v>1791</v>
      </c>
      <c r="N98" s="183">
        <f ca="1">SUMIFS(OFFSET('BPC Data'!$F:$F,0,Summary!N$2),'BPC Data'!$E:$E,Summary!$D98,'BPC Data'!$B:$B,Summary!$C98)</f>
        <v>1898</v>
      </c>
      <c r="O98" s="19">
        <f ca="1">SUMIFS(OFFSET('BPC Data'!$F:$F,0,Summary!O$2),'BPC Data'!$E:$E,Summary!$D98,'BPC Data'!$B:$B,Summary!$C98)</f>
        <v>1990</v>
      </c>
      <c r="P98" s="183">
        <f ca="1">SUMIFS(OFFSET('BPC Data'!$F:$F,0,Summary!P$2),'BPC Data'!$E:$E,Summary!$D98,'BPC Data'!$B:$B,Summary!$C98)</f>
        <v>1870</v>
      </c>
      <c r="Q98" s="19">
        <f ca="1">SUMIFS(OFFSET('BPC Data'!$F:$F,0,Summary!Q$2),'BPC Data'!$E:$E,Summary!$D98,'BPC Data'!$B:$B,Summary!$C98)</f>
        <v>1940</v>
      </c>
      <c r="R98" s="183">
        <f ca="1">SUMIFS(OFFSET('BPC Data'!$F:$F,0,Summary!R$2),'BPC Data'!$E:$E,Summary!$D98,'BPC Data'!$B:$B,Summary!$C98)</f>
        <v>2026</v>
      </c>
      <c r="S98" s="187">
        <f t="shared" ca="1" si="40"/>
        <v>22778</v>
      </c>
      <c r="T98" s="181"/>
    </row>
    <row r="99" spans="1:20" s="17" customFormat="1" x14ac:dyDescent="0.25">
      <c r="A99" s="17">
        <f t="shared" ref="A99:A107" si="48">IF(AND(F99&lt;&gt;"",D99=""),A98+1,A98)</f>
        <v>9</v>
      </c>
      <c r="C99" t="str">
        <f>$F97</f>
        <v>SHC of Bremen</v>
      </c>
      <c r="D99" s="3" t="str">
        <f t="shared" si="44"/>
        <v>A_BEDS_TOTAL - Total Available Beds</v>
      </c>
      <c r="F99" s="24" t="str">
        <f>_xll.EVDES(D99)</f>
        <v>Total Available Beds</v>
      </c>
      <c r="G99" s="19">
        <f ca="1">SUMIFS(OFFSET('BPC Data'!$F:$F,0,Summary!G$2),'BPC Data'!$E:$E,Summary!$D99,'BPC Data'!$B:$B,Summary!$C99)</f>
        <v>82</v>
      </c>
      <c r="H99" s="183">
        <f ca="1">SUMIFS(OFFSET('BPC Data'!$F:$F,0,Summary!H$2),'BPC Data'!$E:$E,Summary!$D99,'BPC Data'!$B:$B,Summary!$C99)</f>
        <v>82</v>
      </c>
      <c r="I99" s="19">
        <f ca="1">SUMIFS(OFFSET('BPC Data'!$F:$F,0,Summary!I$2),'BPC Data'!$E:$E,Summary!$D99,'BPC Data'!$B:$B,Summary!$C99)</f>
        <v>82</v>
      </c>
      <c r="J99" s="183">
        <f ca="1">SUMIFS(OFFSET('BPC Data'!$F:$F,0,Summary!J$2),'BPC Data'!$E:$E,Summary!$D99,'BPC Data'!$B:$B,Summary!$C99)</f>
        <v>82</v>
      </c>
      <c r="K99" s="19">
        <f ca="1">SUMIFS(OFFSET('BPC Data'!$F:$F,0,Summary!K$2),'BPC Data'!$E:$E,Summary!$D99,'BPC Data'!$B:$B,Summary!$C99)</f>
        <v>82</v>
      </c>
      <c r="L99" s="183">
        <f ca="1">SUMIFS(OFFSET('BPC Data'!$F:$F,0,Summary!L$2),'BPC Data'!$E:$E,Summary!$D99,'BPC Data'!$B:$B,Summary!$C99)</f>
        <v>82</v>
      </c>
      <c r="M99" s="19">
        <f ca="1">SUMIFS(OFFSET('BPC Data'!$F:$F,0,Summary!M$2),'BPC Data'!$E:$E,Summary!$D99,'BPC Data'!$B:$B,Summary!$C99)</f>
        <v>82</v>
      </c>
      <c r="N99" s="183">
        <f ca="1">SUMIFS(OFFSET('BPC Data'!$F:$F,0,Summary!N$2),'BPC Data'!$E:$E,Summary!$D99,'BPC Data'!$B:$B,Summary!$C99)</f>
        <v>82</v>
      </c>
      <c r="O99" s="19">
        <f ca="1">SUMIFS(OFFSET('BPC Data'!$F:$F,0,Summary!O$2),'BPC Data'!$E:$E,Summary!$D99,'BPC Data'!$B:$B,Summary!$C99)</f>
        <v>82</v>
      </c>
      <c r="P99" s="183">
        <f ca="1">SUMIFS(OFFSET('BPC Data'!$F:$F,0,Summary!P$2),'BPC Data'!$E:$E,Summary!$D99,'BPC Data'!$B:$B,Summary!$C99)</f>
        <v>82</v>
      </c>
      <c r="Q99" s="19">
        <f ca="1">SUMIFS(OFFSET('BPC Data'!$F:$F,0,Summary!Q$2),'BPC Data'!$E:$E,Summary!$D99,'BPC Data'!$B:$B,Summary!$C99)</f>
        <v>82</v>
      </c>
      <c r="R99" s="183">
        <f ca="1">SUMIFS(OFFSET('BPC Data'!$F:$F,0,Summary!R$2),'BPC Data'!$E:$E,Summary!$D99,'BPC Data'!$B:$B,Summary!$C99)</f>
        <v>82</v>
      </c>
      <c r="S99" s="187">
        <f ca="1">R99</f>
        <v>82</v>
      </c>
      <c r="T99" s="181"/>
    </row>
    <row r="100" spans="1:20" s="17" customFormat="1" x14ac:dyDescent="0.25">
      <c r="A100" s="17">
        <f t="shared" si="48"/>
        <v>9</v>
      </c>
      <c r="B100"/>
      <c r="C100" t="str">
        <f>$F97</f>
        <v>SHC of Bremen</v>
      </c>
      <c r="D100" s="3" t="str">
        <f t="shared" si="44"/>
        <v>T_REVENUES - Total Tenant Revenues</v>
      </c>
      <c r="E100"/>
      <c r="F100" s="24" t="str">
        <f>_xll.EVDES(D100)</f>
        <v>Total Tenant Revenues</v>
      </c>
      <c r="G100" s="19">
        <f ca="1">SUMIFS(OFFSET('BPC Data'!$F:$F,0,Summary!G$2),'BPC Data'!$E:$E,Summary!$D100,'BPC Data'!$B:$B,Summary!$C100)</f>
        <v>582456</v>
      </c>
      <c r="H100" s="183">
        <f ca="1">SUMIFS(OFFSET('BPC Data'!$F:$F,0,Summary!H$2),'BPC Data'!$E:$E,Summary!$D100,'BPC Data'!$B:$B,Summary!$C100)</f>
        <v>576126</v>
      </c>
      <c r="I100" s="19">
        <f ca="1">SUMIFS(OFFSET('BPC Data'!$F:$F,0,Summary!I$2),'BPC Data'!$E:$E,Summary!$D100,'BPC Data'!$B:$B,Summary!$C100)</f>
        <v>676839</v>
      </c>
      <c r="J100" s="183">
        <f ca="1">SUMIFS(OFFSET('BPC Data'!$F:$F,0,Summary!J$2),'BPC Data'!$E:$E,Summary!$D100,'BPC Data'!$B:$B,Summary!$C100)</f>
        <v>575148</v>
      </c>
      <c r="K100" s="19">
        <f ca="1">SUMIFS(OFFSET('BPC Data'!$F:$F,0,Summary!K$2),'BPC Data'!$E:$E,Summary!$D100,'BPC Data'!$B:$B,Summary!$C100)</f>
        <v>611058</v>
      </c>
      <c r="L100" s="183">
        <f ca="1">SUMIFS(OFFSET('BPC Data'!$F:$F,0,Summary!L$2),'BPC Data'!$E:$E,Summary!$D100,'BPC Data'!$B:$B,Summary!$C100)</f>
        <v>519970</v>
      </c>
      <c r="M100" s="19">
        <f ca="1">SUMIFS(OFFSET('BPC Data'!$F:$F,0,Summary!M$2),'BPC Data'!$E:$E,Summary!$D100,'BPC Data'!$B:$B,Summary!$C100)</f>
        <v>565286</v>
      </c>
      <c r="N100" s="183">
        <f ca="1">SUMIFS(OFFSET('BPC Data'!$F:$F,0,Summary!N$2),'BPC Data'!$E:$E,Summary!$D100,'BPC Data'!$B:$B,Summary!$C100)</f>
        <v>572903</v>
      </c>
      <c r="O100" s="19">
        <f ca="1">SUMIFS(OFFSET('BPC Data'!$F:$F,0,Summary!O$2),'BPC Data'!$E:$E,Summary!$D100,'BPC Data'!$B:$B,Summary!$C100)</f>
        <v>649494</v>
      </c>
      <c r="P100" s="183">
        <f ca="1">SUMIFS(OFFSET('BPC Data'!$F:$F,0,Summary!P$2),'BPC Data'!$E:$E,Summary!$D100,'BPC Data'!$B:$B,Summary!$C100)</f>
        <v>575919</v>
      </c>
      <c r="Q100" s="19">
        <f ca="1">SUMIFS(OFFSET('BPC Data'!$F:$F,0,Summary!Q$2),'BPC Data'!$E:$E,Summary!$D100,'BPC Data'!$B:$B,Summary!$C100)</f>
        <v>560231</v>
      </c>
      <c r="R100" s="183">
        <f ca="1">SUMIFS(OFFSET('BPC Data'!$F:$F,0,Summary!R$2),'BPC Data'!$E:$E,Summary!$D100,'BPC Data'!$B:$B,Summary!$C100)</f>
        <v>628074</v>
      </c>
      <c r="S100" s="187">
        <f t="shared" ca="1" si="40"/>
        <v>7093504</v>
      </c>
      <c r="T100" s="181"/>
    </row>
    <row r="101" spans="1:20" s="17" customFormat="1" x14ac:dyDescent="0.25">
      <c r="A101" s="17">
        <f t="shared" si="48"/>
        <v>9</v>
      </c>
      <c r="B101"/>
      <c r="C101" t="str">
        <f>$F97</f>
        <v>SHC of Bremen</v>
      </c>
      <c r="D101" s="3" t="str">
        <f t="shared" si="44"/>
        <v>T_OPEX - Tenant Operating Expenses</v>
      </c>
      <c r="E101"/>
      <c r="F101" s="24" t="str">
        <f>_xll.EVDES(D101)</f>
        <v>Tenant Operating Expenses</v>
      </c>
      <c r="G101" s="19">
        <f ca="1">SUMIFS(OFFSET('BPC Data'!$F:$F,0,Summary!G$2),'BPC Data'!$E:$E,Summary!$D101,'BPC Data'!$B:$B,Summary!$C101)</f>
        <v>448906</v>
      </c>
      <c r="H101" s="183">
        <f ca="1">SUMIFS(OFFSET('BPC Data'!$F:$F,0,Summary!H$2),'BPC Data'!$E:$E,Summary!$D101,'BPC Data'!$B:$B,Summary!$C101)</f>
        <v>479242</v>
      </c>
      <c r="I101" s="19">
        <f ca="1">SUMIFS(OFFSET('BPC Data'!$F:$F,0,Summary!I$2),'BPC Data'!$E:$E,Summary!$D101,'BPC Data'!$B:$B,Summary!$C101)</f>
        <v>584346</v>
      </c>
      <c r="J101" s="183">
        <f ca="1">SUMIFS(OFFSET('BPC Data'!$F:$F,0,Summary!J$2),'BPC Data'!$E:$E,Summary!$D101,'BPC Data'!$B:$B,Summary!$C101)</f>
        <v>737111</v>
      </c>
      <c r="K101" s="19">
        <f ca="1">SUMIFS(OFFSET('BPC Data'!$F:$F,0,Summary!K$2),'BPC Data'!$E:$E,Summary!$D101,'BPC Data'!$B:$B,Summary!$C101)</f>
        <v>453869</v>
      </c>
      <c r="L101" s="183">
        <f ca="1">SUMIFS(OFFSET('BPC Data'!$F:$F,0,Summary!L$2),'BPC Data'!$E:$E,Summary!$D101,'BPC Data'!$B:$B,Summary!$C101)</f>
        <v>468309</v>
      </c>
      <c r="M101" s="19">
        <f ca="1">SUMIFS(OFFSET('BPC Data'!$F:$F,0,Summary!M$2),'BPC Data'!$E:$E,Summary!$D101,'BPC Data'!$B:$B,Summary!$C101)</f>
        <v>409755</v>
      </c>
      <c r="N101" s="183">
        <f ca="1">SUMIFS(OFFSET('BPC Data'!$F:$F,0,Summary!N$2),'BPC Data'!$E:$E,Summary!$D101,'BPC Data'!$B:$B,Summary!$C101)</f>
        <v>418178</v>
      </c>
      <c r="O101" s="19">
        <f ca="1">SUMIFS(OFFSET('BPC Data'!$F:$F,0,Summary!O$2),'BPC Data'!$E:$E,Summary!$D101,'BPC Data'!$B:$B,Summary!$C101)</f>
        <v>456927</v>
      </c>
      <c r="P101" s="183">
        <f ca="1">SUMIFS(OFFSET('BPC Data'!$F:$F,0,Summary!P$2),'BPC Data'!$E:$E,Summary!$D101,'BPC Data'!$B:$B,Summary!$C101)</f>
        <v>448239</v>
      </c>
      <c r="Q101" s="19">
        <f ca="1">SUMIFS(OFFSET('BPC Data'!$F:$F,0,Summary!Q$2),'BPC Data'!$E:$E,Summary!$D101,'BPC Data'!$B:$B,Summary!$C101)</f>
        <v>459322</v>
      </c>
      <c r="R101" s="183">
        <f ca="1">SUMIFS(OFFSET('BPC Data'!$F:$F,0,Summary!R$2),'BPC Data'!$E:$E,Summary!$D101,'BPC Data'!$B:$B,Summary!$C101)</f>
        <v>479287</v>
      </c>
      <c r="S101" s="187">
        <f t="shared" ca="1" si="40"/>
        <v>5843491</v>
      </c>
      <c r="T101" s="181"/>
    </row>
    <row r="102" spans="1:20" s="17" customFormat="1" x14ac:dyDescent="0.25">
      <c r="A102" s="17">
        <f t="shared" si="48"/>
        <v>9</v>
      </c>
      <c r="B102"/>
      <c r="C102" t="str">
        <f>$F97</f>
        <v>SHC of Bremen</v>
      </c>
      <c r="D102" s="3" t="str">
        <f t="shared" si="44"/>
        <v>T_BAD_DEBT - Tenant Bad Debt Expense</v>
      </c>
      <c r="E102"/>
      <c r="F102" s="24" t="str">
        <f>_xll.EVDES(D102)</f>
        <v>Tenant Bad Debt Expense</v>
      </c>
      <c r="G102" s="19">
        <f ca="1">SUMIFS(OFFSET('BPC Data'!$F:$F,0,Summary!G$2),'BPC Data'!$E:$E,Summary!$D102,'BPC Data'!$B:$B,Summary!$C102)</f>
        <v>11515</v>
      </c>
      <c r="H102" s="183">
        <f ca="1">SUMIFS(OFFSET('BPC Data'!$F:$F,0,Summary!H$2),'BPC Data'!$E:$E,Summary!$D102,'BPC Data'!$B:$B,Summary!$C102)</f>
        <v>-2698</v>
      </c>
      <c r="I102" s="19">
        <f ca="1">SUMIFS(OFFSET('BPC Data'!$F:$F,0,Summary!I$2),'BPC Data'!$E:$E,Summary!$D102,'BPC Data'!$B:$B,Summary!$C102)</f>
        <v>-5000</v>
      </c>
      <c r="J102" s="183">
        <f ca="1">SUMIFS(OFFSET('BPC Data'!$F:$F,0,Summary!J$2),'BPC Data'!$E:$E,Summary!$D102,'BPC Data'!$B:$B,Summary!$C102)</f>
        <v>13995</v>
      </c>
      <c r="K102" s="19">
        <f ca="1">SUMIFS(OFFSET('BPC Data'!$F:$F,0,Summary!K$2),'BPC Data'!$E:$E,Summary!$D102,'BPC Data'!$B:$B,Summary!$C102)</f>
        <v>20819</v>
      </c>
      <c r="L102" s="183">
        <f ca="1">SUMIFS(OFFSET('BPC Data'!$F:$F,0,Summary!L$2),'BPC Data'!$E:$E,Summary!$D102,'BPC Data'!$B:$B,Summary!$C102)</f>
        <v>18000</v>
      </c>
      <c r="M102" s="19">
        <f ca="1">SUMIFS(OFFSET('BPC Data'!$F:$F,0,Summary!M$2),'BPC Data'!$E:$E,Summary!$D102,'BPC Data'!$B:$B,Summary!$C102)</f>
        <v>0</v>
      </c>
      <c r="N102" s="183">
        <f ca="1">SUMIFS(OFFSET('BPC Data'!$F:$F,0,Summary!N$2),'BPC Data'!$E:$E,Summary!$D102,'BPC Data'!$B:$B,Summary!$C102)</f>
        <v>0</v>
      </c>
      <c r="O102" s="19">
        <f ca="1">SUMIFS(OFFSET('BPC Data'!$F:$F,0,Summary!O$2),'BPC Data'!$E:$E,Summary!$D102,'BPC Data'!$B:$B,Summary!$C102)</f>
        <v>0</v>
      </c>
      <c r="P102" s="183">
        <f ca="1">SUMIFS(OFFSET('BPC Data'!$F:$F,0,Summary!P$2),'BPC Data'!$E:$E,Summary!$D102,'BPC Data'!$B:$B,Summary!$C102)</f>
        <v>0</v>
      </c>
      <c r="Q102" s="19">
        <f ca="1">SUMIFS(OFFSET('BPC Data'!$F:$F,0,Summary!Q$2),'BPC Data'!$E:$E,Summary!$D102,'BPC Data'!$B:$B,Summary!$C102)</f>
        <v>0</v>
      </c>
      <c r="R102" s="183">
        <f ca="1">SUMIFS(OFFSET('BPC Data'!$F:$F,0,Summary!R$2),'BPC Data'!$E:$E,Summary!$D102,'BPC Data'!$B:$B,Summary!$C102)</f>
        <v>0</v>
      </c>
      <c r="S102" s="187">
        <f t="shared" ca="1" si="40"/>
        <v>56631</v>
      </c>
      <c r="T102" s="181"/>
    </row>
    <row r="103" spans="1:20" s="17" customFormat="1" x14ac:dyDescent="0.25">
      <c r="A103" s="17">
        <f t="shared" si="48"/>
        <v>9</v>
      </c>
      <c r="B103"/>
      <c r="C103" t="str">
        <f>$F97</f>
        <v>SHC of Bremen</v>
      </c>
      <c r="D103" s="2" t="str">
        <f t="shared" si="44"/>
        <v>T_EBITDARM - EBITDARM</v>
      </c>
      <c r="E103"/>
      <c r="F103" s="24" t="str">
        <f>_xll.EVDES(D103)</f>
        <v>EBITDARM</v>
      </c>
      <c r="G103" s="19">
        <f ca="1">SUMIFS(OFFSET('BPC Data'!$F:$F,0,Summary!G$2),'BPC Data'!$E:$E,Summary!$D103,'BPC Data'!$B:$B,Summary!$C103)</f>
        <v>133550</v>
      </c>
      <c r="H103" s="183">
        <f ca="1">SUMIFS(OFFSET('BPC Data'!$F:$F,0,Summary!H$2),'BPC Data'!$E:$E,Summary!$D103,'BPC Data'!$B:$B,Summary!$C103)</f>
        <v>96884</v>
      </c>
      <c r="I103" s="19">
        <f ca="1">SUMIFS(OFFSET('BPC Data'!$F:$F,0,Summary!I$2),'BPC Data'!$E:$E,Summary!$D103,'BPC Data'!$B:$B,Summary!$C103)</f>
        <v>92493</v>
      </c>
      <c r="J103" s="183">
        <f ca="1">SUMIFS(OFFSET('BPC Data'!$F:$F,0,Summary!J$2),'BPC Data'!$E:$E,Summary!$D103,'BPC Data'!$B:$B,Summary!$C103)</f>
        <v>-161963</v>
      </c>
      <c r="K103" s="19">
        <f ca="1">SUMIFS(OFFSET('BPC Data'!$F:$F,0,Summary!K$2),'BPC Data'!$E:$E,Summary!$D103,'BPC Data'!$B:$B,Summary!$C103)</f>
        <v>157189</v>
      </c>
      <c r="L103" s="183">
        <f ca="1">SUMIFS(OFFSET('BPC Data'!$F:$F,0,Summary!L$2),'BPC Data'!$E:$E,Summary!$D103,'BPC Data'!$B:$B,Summary!$C103)</f>
        <v>51661</v>
      </c>
      <c r="M103" s="19">
        <f ca="1">SUMIFS(OFFSET('BPC Data'!$F:$F,0,Summary!M$2),'BPC Data'!$E:$E,Summary!$D103,'BPC Data'!$B:$B,Summary!$C103)</f>
        <v>155531</v>
      </c>
      <c r="N103" s="183">
        <f ca="1">SUMIFS(OFFSET('BPC Data'!$F:$F,0,Summary!N$2),'BPC Data'!$E:$E,Summary!$D103,'BPC Data'!$B:$B,Summary!$C103)</f>
        <v>154725</v>
      </c>
      <c r="O103" s="19">
        <f ca="1">SUMIFS(OFFSET('BPC Data'!$F:$F,0,Summary!O$2),'BPC Data'!$E:$E,Summary!$D103,'BPC Data'!$B:$B,Summary!$C103)</f>
        <v>192567</v>
      </c>
      <c r="P103" s="183">
        <f ca="1">SUMIFS(OFFSET('BPC Data'!$F:$F,0,Summary!P$2),'BPC Data'!$E:$E,Summary!$D103,'BPC Data'!$B:$B,Summary!$C103)</f>
        <v>127680</v>
      </c>
      <c r="Q103" s="19">
        <f ca="1">SUMIFS(OFFSET('BPC Data'!$F:$F,0,Summary!Q$2),'BPC Data'!$E:$E,Summary!$D103,'BPC Data'!$B:$B,Summary!$C103)</f>
        <v>100909</v>
      </c>
      <c r="R103" s="183">
        <f ca="1">SUMIFS(OFFSET('BPC Data'!$F:$F,0,Summary!R$2),'BPC Data'!$E:$E,Summary!$D103,'BPC Data'!$B:$B,Summary!$C103)</f>
        <v>148787</v>
      </c>
      <c r="S103" s="187">
        <f t="shared" ca="1" si="40"/>
        <v>1250013</v>
      </c>
      <c r="T103" s="181"/>
    </row>
    <row r="104" spans="1:20" s="17" customFormat="1" x14ac:dyDescent="0.25">
      <c r="A104" s="17">
        <f t="shared" si="48"/>
        <v>9</v>
      </c>
      <c r="B104"/>
      <c r="C104" t="str">
        <f>$F97</f>
        <v>SHC of Bremen</v>
      </c>
      <c r="D104" s="2" t="str">
        <f t="shared" si="44"/>
        <v>T_MGMT_FEE - Tenant Management Fee - Actual</v>
      </c>
      <c r="E104"/>
      <c r="F104" s="24" t="str">
        <f>_xll.EVDES(D104)</f>
        <v>Tenant Management Fee - Actual</v>
      </c>
      <c r="G104" s="19">
        <f ca="1">SUMIFS(OFFSET('BPC Data'!$F:$F,0,Summary!G$2),'BPC Data'!$E:$E,Summary!$D104,'BPC Data'!$B:$B,Summary!$C104)</f>
        <v>29395</v>
      </c>
      <c r="H104" s="183">
        <f ca="1">SUMIFS(OFFSET('BPC Data'!$F:$F,0,Summary!H$2),'BPC Data'!$E:$E,Summary!$D104,'BPC Data'!$B:$B,Summary!$C104)</f>
        <v>29094</v>
      </c>
      <c r="I104" s="19">
        <f ca="1">SUMIFS(OFFSET('BPC Data'!$F:$F,0,Summary!I$2),'BPC Data'!$E:$E,Summary!$D104,'BPC Data'!$B:$B,Summary!$C104)</f>
        <v>34180</v>
      </c>
      <c r="J104" s="183">
        <f ca="1">SUMIFS(OFFSET('BPC Data'!$F:$F,0,Summary!J$2),'BPC Data'!$E:$E,Summary!$D104,'BPC Data'!$B:$B,Summary!$C104)</f>
        <v>29045</v>
      </c>
      <c r="K104" s="19">
        <f ca="1">SUMIFS(OFFSET('BPC Data'!$F:$F,0,Summary!K$2),'BPC Data'!$E:$E,Summary!$D104,'BPC Data'!$B:$B,Summary!$C104)</f>
        <v>30858</v>
      </c>
      <c r="L104" s="183">
        <f ca="1">SUMIFS(OFFSET('BPC Data'!$F:$F,0,Summary!L$2),'BPC Data'!$E:$E,Summary!$D104,'BPC Data'!$B:$B,Summary!$C104)</f>
        <v>26258</v>
      </c>
      <c r="M104" s="19">
        <f ca="1">SUMIFS(OFFSET('BPC Data'!$F:$F,0,Summary!M$2),'BPC Data'!$E:$E,Summary!$D104,'BPC Data'!$B:$B,Summary!$C104)</f>
        <v>28547</v>
      </c>
      <c r="N104" s="183">
        <f ca="1">SUMIFS(OFFSET('BPC Data'!$F:$F,0,Summary!N$2),'BPC Data'!$E:$E,Summary!$D104,'BPC Data'!$B:$B,Summary!$C104)</f>
        <v>28932</v>
      </c>
      <c r="O104" s="19">
        <f ca="1">SUMIFS(OFFSET('BPC Data'!$F:$F,0,Summary!O$2),'BPC Data'!$E:$E,Summary!$D104,'BPC Data'!$B:$B,Summary!$C104)</f>
        <v>32799</v>
      </c>
      <c r="P104" s="183">
        <f ca="1">SUMIFS(OFFSET('BPC Data'!$F:$F,0,Summary!P$2),'BPC Data'!$E:$E,Summary!$D104,'BPC Data'!$B:$B,Summary!$C104)</f>
        <v>29084</v>
      </c>
      <c r="Q104" s="19">
        <f ca="1">SUMIFS(OFFSET('BPC Data'!$F:$F,0,Summary!Q$2),'BPC Data'!$E:$E,Summary!$D104,'BPC Data'!$B:$B,Summary!$C104)</f>
        <v>28292</v>
      </c>
      <c r="R104" s="183">
        <f ca="1">SUMIFS(OFFSET('BPC Data'!$F:$F,0,Summary!R$2),'BPC Data'!$E:$E,Summary!$D104,'BPC Data'!$B:$B,Summary!$C104)</f>
        <v>31718</v>
      </c>
      <c r="S104" s="187">
        <f t="shared" ca="1" si="40"/>
        <v>358202</v>
      </c>
      <c r="T104" s="181"/>
    </row>
    <row r="105" spans="1:20" s="17" customFormat="1" x14ac:dyDescent="0.25">
      <c r="A105" s="17">
        <f t="shared" si="48"/>
        <v>9</v>
      </c>
      <c r="B105"/>
      <c r="C105" t="str">
        <f>$F97</f>
        <v>SHC of Bremen</v>
      </c>
      <c r="D105" s="1" t="str">
        <f t="shared" si="44"/>
        <v>T_EBITDAR - EBITDAR</v>
      </c>
      <c r="E105"/>
      <c r="F105" s="24" t="str">
        <f>_xll.EVDES(D105)</f>
        <v>EBITDAR</v>
      </c>
      <c r="G105" s="19">
        <f ca="1">SUMIFS(OFFSET('BPC Data'!$F:$F,0,Summary!G$2),'BPC Data'!$E:$E,Summary!$D105,'BPC Data'!$B:$B,Summary!$C105)</f>
        <v>104155</v>
      </c>
      <c r="H105" s="183">
        <f ca="1">SUMIFS(OFFSET('BPC Data'!$F:$F,0,Summary!H$2),'BPC Data'!$E:$E,Summary!$D105,'BPC Data'!$B:$B,Summary!$C105)</f>
        <v>67790</v>
      </c>
      <c r="I105" s="19">
        <f ca="1">SUMIFS(OFFSET('BPC Data'!$F:$F,0,Summary!I$2),'BPC Data'!$E:$E,Summary!$D105,'BPC Data'!$B:$B,Summary!$C105)</f>
        <v>58313</v>
      </c>
      <c r="J105" s="183">
        <f ca="1">SUMIFS(OFFSET('BPC Data'!$F:$F,0,Summary!J$2),'BPC Data'!$E:$E,Summary!$D105,'BPC Data'!$B:$B,Summary!$C105)</f>
        <v>-191008</v>
      </c>
      <c r="K105" s="19">
        <f ca="1">SUMIFS(OFFSET('BPC Data'!$F:$F,0,Summary!K$2),'BPC Data'!$E:$E,Summary!$D105,'BPC Data'!$B:$B,Summary!$C105)</f>
        <v>126331</v>
      </c>
      <c r="L105" s="183">
        <f ca="1">SUMIFS(OFFSET('BPC Data'!$F:$F,0,Summary!L$2),'BPC Data'!$E:$E,Summary!$D105,'BPC Data'!$B:$B,Summary!$C105)</f>
        <v>25403</v>
      </c>
      <c r="M105" s="19">
        <f ca="1">SUMIFS(OFFSET('BPC Data'!$F:$F,0,Summary!M$2),'BPC Data'!$E:$E,Summary!$D105,'BPC Data'!$B:$B,Summary!$C105)</f>
        <v>126984</v>
      </c>
      <c r="N105" s="183">
        <f ca="1">SUMIFS(OFFSET('BPC Data'!$F:$F,0,Summary!N$2),'BPC Data'!$E:$E,Summary!$D105,'BPC Data'!$B:$B,Summary!$C105)</f>
        <v>125793</v>
      </c>
      <c r="O105" s="19">
        <f ca="1">SUMIFS(OFFSET('BPC Data'!$F:$F,0,Summary!O$2),'BPC Data'!$E:$E,Summary!$D105,'BPC Data'!$B:$B,Summary!$C105)</f>
        <v>159768</v>
      </c>
      <c r="P105" s="183">
        <f ca="1">SUMIFS(OFFSET('BPC Data'!$F:$F,0,Summary!P$2),'BPC Data'!$E:$E,Summary!$D105,'BPC Data'!$B:$B,Summary!$C105)</f>
        <v>98596</v>
      </c>
      <c r="Q105" s="19">
        <f ca="1">SUMIFS(OFFSET('BPC Data'!$F:$F,0,Summary!Q$2),'BPC Data'!$E:$E,Summary!$D105,'BPC Data'!$B:$B,Summary!$C105)</f>
        <v>72617</v>
      </c>
      <c r="R105" s="183">
        <f ca="1">SUMIFS(OFFSET('BPC Data'!$F:$F,0,Summary!R$2),'BPC Data'!$E:$E,Summary!$D105,'BPC Data'!$B:$B,Summary!$C105)</f>
        <v>117069</v>
      </c>
      <c r="S105" s="187">
        <f t="shared" ca="1" si="40"/>
        <v>891811</v>
      </c>
      <c r="T105" s="181"/>
    </row>
    <row r="106" spans="1:20" s="17" customFormat="1" x14ac:dyDescent="0.25">
      <c r="A106" s="17">
        <f t="shared" si="48"/>
        <v>9</v>
      </c>
      <c r="B106"/>
      <c r="C106" t="str">
        <f>$F97</f>
        <v>SHC of Bremen</v>
      </c>
      <c r="D106" s="1" t="str">
        <f t="shared" si="44"/>
        <v>T_RENT_EXP - Tenant Rent Expense</v>
      </c>
      <c r="E106"/>
      <c r="F106" s="24" t="str">
        <f>_xll.EVDES(D106)</f>
        <v>Tenant Rent Expense</v>
      </c>
      <c r="G106" s="19">
        <f ca="1">SUMIFS(OFFSET('BPC Data'!$F:$F,0,Summary!G$2),'BPC Data'!$E:$E,Summary!$D106,'BPC Data'!$B:$B,Summary!$C106)</f>
        <v>99775</v>
      </c>
      <c r="H106" s="183">
        <f ca="1">SUMIFS(OFFSET('BPC Data'!$F:$F,0,Summary!H$2),'BPC Data'!$E:$E,Summary!$D106,'BPC Data'!$B:$B,Summary!$C106)</f>
        <v>99775</v>
      </c>
      <c r="I106" s="19">
        <f ca="1">SUMIFS(OFFSET('BPC Data'!$F:$F,0,Summary!I$2),'BPC Data'!$E:$E,Summary!$D106,'BPC Data'!$B:$B,Summary!$C106)</f>
        <v>99775</v>
      </c>
      <c r="J106" s="183">
        <f ca="1">SUMIFS(OFFSET('BPC Data'!$F:$F,0,Summary!J$2),'BPC Data'!$E:$E,Summary!$D106,'BPC Data'!$B:$B,Summary!$C106)</f>
        <v>102270</v>
      </c>
      <c r="K106" s="19">
        <f ca="1">SUMIFS(OFFSET('BPC Data'!$F:$F,0,Summary!K$2),'BPC Data'!$E:$E,Summary!$D106,'BPC Data'!$B:$B,Summary!$C106)</f>
        <v>102270</v>
      </c>
      <c r="L106" s="183">
        <f ca="1">SUMIFS(OFFSET('BPC Data'!$F:$F,0,Summary!L$2),'BPC Data'!$E:$E,Summary!$D106,'BPC Data'!$B:$B,Summary!$C106)</f>
        <v>102270</v>
      </c>
      <c r="M106" s="19">
        <f ca="1">SUMIFS(OFFSET('BPC Data'!$F:$F,0,Summary!M$2),'BPC Data'!$E:$E,Summary!$D106,'BPC Data'!$B:$B,Summary!$C106)</f>
        <v>102270</v>
      </c>
      <c r="N106" s="183">
        <f ca="1">SUMIFS(OFFSET('BPC Data'!$F:$F,0,Summary!N$2),'BPC Data'!$E:$E,Summary!$D106,'BPC Data'!$B:$B,Summary!$C106)</f>
        <v>102270</v>
      </c>
      <c r="O106" s="19">
        <f ca="1">SUMIFS(OFFSET('BPC Data'!$F:$F,0,Summary!O$2),'BPC Data'!$E:$E,Summary!$D106,'BPC Data'!$B:$B,Summary!$C106)</f>
        <v>102270</v>
      </c>
      <c r="P106" s="183">
        <f ca="1">SUMIFS(OFFSET('BPC Data'!$F:$F,0,Summary!P$2),'BPC Data'!$E:$E,Summary!$D106,'BPC Data'!$B:$B,Summary!$C106)</f>
        <v>102270</v>
      </c>
      <c r="Q106" s="19">
        <f ca="1">SUMIFS(OFFSET('BPC Data'!$F:$F,0,Summary!Q$2),'BPC Data'!$E:$E,Summary!$D106,'BPC Data'!$B:$B,Summary!$C106)</f>
        <v>102270</v>
      </c>
      <c r="R106" s="183">
        <f ca="1">SUMIFS(OFFSET('BPC Data'!$F:$F,0,Summary!R$2),'BPC Data'!$E:$E,Summary!$D106,'BPC Data'!$B:$B,Summary!$C106)</f>
        <v>102270</v>
      </c>
      <c r="S106" s="187">
        <f t="shared" ca="1" si="40"/>
        <v>1219755</v>
      </c>
      <c r="T106" s="181"/>
    </row>
    <row r="107" spans="1:20" s="17" customFormat="1" x14ac:dyDescent="0.25">
      <c r="A107" s="17">
        <f t="shared" si="48"/>
        <v>9</v>
      </c>
      <c r="B107"/>
      <c r="C107"/>
      <c r="D107" s="1" t="str">
        <f t="shared" si="44"/>
        <v>x</v>
      </c>
      <c r="E107"/>
      <c r="F107" s="24" t="s">
        <v>0</v>
      </c>
      <c r="G107" s="12">
        <f ca="1">G105/G106</f>
        <v>1.0438987722375344</v>
      </c>
      <c r="H107" s="184">
        <f t="shared" ref="H107:I107" ca="1" si="49">H105/H106</f>
        <v>0.67942871460786769</v>
      </c>
      <c r="I107" s="12">
        <f t="shared" ca="1" si="49"/>
        <v>0.58444500125281884</v>
      </c>
      <c r="J107" s="184">
        <f t="shared" ref="J107:R107" ca="1" si="50">J105/J106</f>
        <v>-1.8676835826733158</v>
      </c>
      <c r="K107" s="12">
        <f t="shared" ca="1" si="50"/>
        <v>1.2352693849613767</v>
      </c>
      <c r="L107" s="184">
        <f t="shared" ca="1" si="50"/>
        <v>0.24839151266255988</v>
      </c>
      <c r="M107" s="12">
        <f t="shared" ca="1" si="50"/>
        <v>1.2416544441185098</v>
      </c>
      <c r="N107" s="184">
        <f t="shared" ca="1" si="50"/>
        <v>1.230008800234673</v>
      </c>
      <c r="O107" s="12">
        <f t="shared" ca="1" si="50"/>
        <v>1.5622176591375769</v>
      </c>
      <c r="P107" s="184">
        <f t="shared" ca="1" si="50"/>
        <v>0.9640754864574167</v>
      </c>
      <c r="Q107" s="12">
        <f t="shared" ca="1" si="50"/>
        <v>0.71005182360418495</v>
      </c>
      <c r="R107" s="184">
        <f t="shared" ca="1" si="50"/>
        <v>1.144705192138457</v>
      </c>
      <c r="S107" s="187">
        <f t="shared" ca="1" si="40"/>
        <v>8.7764632087396599</v>
      </c>
      <c r="T107" s="181"/>
    </row>
    <row r="108" spans="1:20" s="17" customFormat="1" x14ac:dyDescent="0.25">
      <c r="A108" s="17">
        <f>IF(AND(D108&lt;&gt;"",C108=""),A107+1,A107)</f>
        <v>10</v>
      </c>
      <c r="B108" s="5"/>
      <c r="C108" s="5"/>
      <c r="D108" s="5" t="str">
        <f t="shared" si="44"/>
        <v>x</v>
      </c>
      <c r="E108" s="5"/>
      <c r="F108" s="23" t="str">
        <f>INDEX(PropertyList!$D:$D,MATCH(Summary!$A108,PropertyList!$C:$C,0))</f>
        <v>SHC of Muncie</v>
      </c>
      <c r="G108" s="11"/>
      <c r="H108" s="182"/>
      <c r="I108" s="11"/>
      <c r="J108" s="182"/>
      <c r="K108" s="11"/>
      <c r="L108" s="182"/>
      <c r="M108" s="11"/>
      <c r="N108" s="182"/>
      <c r="O108" s="11"/>
      <c r="P108" s="182"/>
      <c r="Q108" s="11"/>
      <c r="R108" s="182"/>
      <c r="S108" s="187">
        <f t="shared" si="40"/>
        <v>0</v>
      </c>
      <c r="T108" s="181"/>
    </row>
    <row r="109" spans="1:20" s="17" customFormat="1" x14ac:dyDescent="0.25">
      <c r="A109" s="17">
        <f>IF(AND(F109&lt;&gt;"",D109=""),A108+1,A108)</f>
        <v>10</v>
      </c>
      <c r="C109" t="str">
        <f>$F108</f>
        <v>SHC of Muncie</v>
      </c>
      <c r="D109" s="3" t="str">
        <f t="shared" si="44"/>
        <v>PAY_PAT_DAYS - Total Payor Patient Days</v>
      </c>
      <c r="F109" s="24" t="str">
        <f>_xll.EVDES(D109)</f>
        <v>Total Payor Patient Days</v>
      </c>
      <c r="G109" s="19">
        <f ca="1">SUMIFS(OFFSET('BPC Data'!$F:$F,0,Summary!G$2),'BPC Data'!$E:$E,Summary!$D109,'BPC Data'!$B:$B,Summary!$C109)</f>
        <v>3330</v>
      </c>
      <c r="H109" s="183">
        <f ca="1">SUMIFS(OFFSET('BPC Data'!$F:$F,0,Summary!H$2),'BPC Data'!$E:$E,Summary!$D109,'BPC Data'!$B:$B,Summary!$C109)</f>
        <v>3523</v>
      </c>
      <c r="I109" s="19">
        <f ca="1">SUMIFS(OFFSET('BPC Data'!$F:$F,0,Summary!I$2),'BPC Data'!$E:$E,Summary!$D109,'BPC Data'!$B:$B,Summary!$C109)</f>
        <v>3478</v>
      </c>
      <c r="J109" s="183">
        <f ca="1">SUMIFS(OFFSET('BPC Data'!$F:$F,0,Summary!J$2),'BPC Data'!$E:$E,Summary!$D109,'BPC Data'!$B:$B,Summary!$C109)</f>
        <v>3536</v>
      </c>
      <c r="K109" s="19">
        <f ca="1">SUMIFS(OFFSET('BPC Data'!$F:$F,0,Summary!K$2),'BPC Data'!$E:$E,Summary!$D109,'BPC Data'!$B:$B,Summary!$C109)</f>
        <v>3622</v>
      </c>
      <c r="L109" s="183">
        <f ca="1">SUMIFS(OFFSET('BPC Data'!$F:$F,0,Summary!L$2),'BPC Data'!$E:$E,Summary!$D109,'BPC Data'!$B:$B,Summary!$C109)</f>
        <v>3382</v>
      </c>
      <c r="M109" s="19">
        <f ca="1">SUMIFS(OFFSET('BPC Data'!$F:$F,0,Summary!M$2),'BPC Data'!$E:$E,Summary!$D109,'BPC Data'!$B:$B,Summary!$C109)</f>
        <v>3654</v>
      </c>
      <c r="N109" s="183">
        <f ca="1">SUMIFS(OFFSET('BPC Data'!$F:$F,0,Summary!N$2),'BPC Data'!$E:$E,Summary!$D109,'BPC Data'!$B:$B,Summary!$C109)</f>
        <v>3509</v>
      </c>
      <c r="O109" s="19">
        <f ca="1">SUMIFS(OFFSET('BPC Data'!$F:$F,0,Summary!O$2),'BPC Data'!$E:$E,Summary!$D109,'BPC Data'!$B:$B,Summary!$C109)</f>
        <v>3715</v>
      </c>
      <c r="P109" s="183">
        <f ca="1">SUMIFS(OFFSET('BPC Data'!$F:$F,0,Summary!P$2),'BPC Data'!$E:$E,Summary!$D109,'BPC Data'!$B:$B,Summary!$C109)</f>
        <v>3532</v>
      </c>
      <c r="Q109" s="19">
        <f ca="1">SUMIFS(OFFSET('BPC Data'!$F:$F,0,Summary!Q$2),'BPC Data'!$E:$E,Summary!$D109,'BPC Data'!$B:$B,Summary!$C109)</f>
        <v>3594</v>
      </c>
      <c r="R109" s="183">
        <f ca="1">SUMIFS(OFFSET('BPC Data'!$F:$F,0,Summary!R$2),'BPC Data'!$E:$E,Summary!$D109,'BPC Data'!$B:$B,Summary!$C109)</f>
        <v>3635</v>
      </c>
      <c r="S109" s="187">
        <f t="shared" ca="1" si="40"/>
        <v>42510</v>
      </c>
      <c r="T109" s="181"/>
    </row>
    <row r="110" spans="1:20" s="17" customFormat="1" x14ac:dyDescent="0.25">
      <c r="A110" s="17">
        <f t="shared" ref="A110:A118" si="51">IF(AND(F110&lt;&gt;"",D110=""),A109+1,A109)</f>
        <v>10</v>
      </c>
      <c r="C110" t="str">
        <f>$F108</f>
        <v>SHC of Muncie</v>
      </c>
      <c r="D110" s="3" t="str">
        <f t="shared" si="44"/>
        <v>A_BEDS_TOTAL - Total Available Beds</v>
      </c>
      <c r="F110" s="24" t="str">
        <f>_xll.EVDES(D110)</f>
        <v>Total Available Beds</v>
      </c>
      <c r="G110" s="19">
        <f ca="1">SUMIFS(OFFSET('BPC Data'!$F:$F,0,Summary!G$2),'BPC Data'!$E:$E,Summary!$D110,'BPC Data'!$B:$B,Summary!$C110)</f>
        <v>140</v>
      </c>
      <c r="H110" s="183">
        <f ca="1">SUMIFS(OFFSET('BPC Data'!$F:$F,0,Summary!H$2),'BPC Data'!$E:$E,Summary!$D110,'BPC Data'!$B:$B,Summary!$C110)</f>
        <v>140</v>
      </c>
      <c r="I110" s="19">
        <f ca="1">SUMIFS(OFFSET('BPC Data'!$F:$F,0,Summary!I$2),'BPC Data'!$E:$E,Summary!$D110,'BPC Data'!$B:$B,Summary!$C110)</f>
        <v>140</v>
      </c>
      <c r="J110" s="183">
        <f ca="1">SUMIFS(OFFSET('BPC Data'!$F:$F,0,Summary!J$2),'BPC Data'!$E:$E,Summary!$D110,'BPC Data'!$B:$B,Summary!$C110)</f>
        <v>140</v>
      </c>
      <c r="K110" s="19">
        <f ca="1">SUMIFS(OFFSET('BPC Data'!$F:$F,0,Summary!K$2),'BPC Data'!$E:$E,Summary!$D110,'BPC Data'!$B:$B,Summary!$C110)</f>
        <v>140</v>
      </c>
      <c r="L110" s="183">
        <f ca="1">SUMIFS(OFFSET('BPC Data'!$F:$F,0,Summary!L$2),'BPC Data'!$E:$E,Summary!$D110,'BPC Data'!$B:$B,Summary!$C110)</f>
        <v>140</v>
      </c>
      <c r="M110" s="19">
        <f ca="1">SUMIFS(OFFSET('BPC Data'!$F:$F,0,Summary!M$2),'BPC Data'!$E:$E,Summary!$D110,'BPC Data'!$B:$B,Summary!$C110)</f>
        <v>140</v>
      </c>
      <c r="N110" s="183">
        <f ca="1">SUMIFS(OFFSET('BPC Data'!$F:$F,0,Summary!N$2),'BPC Data'!$E:$E,Summary!$D110,'BPC Data'!$B:$B,Summary!$C110)</f>
        <v>140</v>
      </c>
      <c r="O110" s="19">
        <f ca="1">SUMIFS(OFFSET('BPC Data'!$F:$F,0,Summary!O$2),'BPC Data'!$E:$E,Summary!$D110,'BPC Data'!$B:$B,Summary!$C110)</f>
        <v>140</v>
      </c>
      <c r="P110" s="183">
        <f ca="1">SUMIFS(OFFSET('BPC Data'!$F:$F,0,Summary!P$2),'BPC Data'!$E:$E,Summary!$D110,'BPC Data'!$B:$B,Summary!$C110)</f>
        <v>140</v>
      </c>
      <c r="Q110" s="19">
        <f ca="1">SUMIFS(OFFSET('BPC Data'!$F:$F,0,Summary!Q$2),'BPC Data'!$E:$E,Summary!$D110,'BPC Data'!$B:$B,Summary!$C110)</f>
        <v>140</v>
      </c>
      <c r="R110" s="183">
        <f ca="1">SUMIFS(OFFSET('BPC Data'!$F:$F,0,Summary!R$2),'BPC Data'!$E:$E,Summary!$D110,'BPC Data'!$B:$B,Summary!$C110)</f>
        <v>140</v>
      </c>
      <c r="S110" s="187">
        <f ca="1">R110</f>
        <v>140</v>
      </c>
      <c r="T110" s="181"/>
    </row>
    <row r="111" spans="1:20" s="17" customFormat="1" x14ac:dyDescent="0.25">
      <c r="A111" s="17">
        <f t="shared" si="51"/>
        <v>10</v>
      </c>
      <c r="B111"/>
      <c r="C111" t="str">
        <f>$F108</f>
        <v>SHC of Muncie</v>
      </c>
      <c r="D111" s="3" t="str">
        <f t="shared" si="44"/>
        <v>T_REVENUES - Total Tenant Revenues</v>
      </c>
      <c r="E111"/>
      <c r="F111" s="24" t="str">
        <f>_xll.EVDES(D111)</f>
        <v>Total Tenant Revenues</v>
      </c>
      <c r="G111" s="19">
        <f ca="1">SUMIFS(OFFSET('BPC Data'!$F:$F,0,Summary!G$2),'BPC Data'!$E:$E,Summary!$D111,'BPC Data'!$B:$B,Summary!$C111)</f>
        <v>1241844</v>
      </c>
      <c r="H111" s="183">
        <f ca="1">SUMIFS(OFFSET('BPC Data'!$F:$F,0,Summary!H$2),'BPC Data'!$E:$E,Summary!$D111,'BPC Data'!$B:$B,Summary!$C111)</f>
        <v>1427657</v>
      </c>
      <c r="I111" s="19">
        <f ca="1">SUMIFS(OFFSET('BPC Data'!$F:$F,0,Summary!I$2),'BPC Data'!$E:$E,Summary!$D111,'BPC Data'!$B:$B,Summary!$C111)</f>
        <v>1419751</v>
      </c>
      <c r="J111" s="183">
        <f ca="1">SUMIFS(OFFSET('BPC Data'!$F:$F,0,Summary!J$2),'BPC Data'!$E:$E,Summary!$D111,'BPC Data'!$B:$B,Summary!$C111)</f>
        <v>1424273</v>
      </c>
      <c r="K111" s="19">
        <f ca="1">SUMIFS(OFFSET('BPC Data'!$F:$F,0,Summary!K$2),'BPC Data'!$E:$E,Summary!$D111,'BPC Data'!$B:$B,Summary!$C111)</f>
        <v>1385072</v>
      </c>
      <c r="L111" s="183">
        <f ca="1">SUMIFS(OFFSET('BPC Data'!$F:$F,0,Summary!L$2),'BPC Data'!$E:$E,Summary!$D111,'BPC Data'!$B:$B,Summary!$C111)</f>
        <v>1214078</v>
      </c>
      <c r="M111" s="19">
        <f ca="1">SUMIFS(OFFSET('BPC Data'!$F:$F,0,Summary!M$2),'BPC Data'!$E:$E,Summary!$D111,'BPC Data'!$B:$B,Summary!$C111)</f>
        <v>1244286</v>
      </c>
      <c r="N111" s="183">
        <f ca="1">SUMIFS(OFFSET('BPC Data'!$F:$F,0,Summary!N$2),'BPC Data'!$E:$E,Summary!$D111,'BPC Data'!$B:$B,Summary!$C111)</f>
        <v>1294377</v>
      </c>
      <c r="O111" s="19">
        <f ca="1">SUMIFS(OFFSET('BPC Data'!$F:$F,0,Summary!O$2),'BPC Data'!$E:$E,Summary!$D111,'BPC Data'!$B:$B,Summary!$C111)</f>
        <v>1281138</v>
      </c>
      <c r="P111" s="183">
        <f ca="1">SUMIFS(OFFSET('BPC Data'!$F:$F,0,Summary!P$2),'BPC Data'!$E:$E,Summary!$D111,'BPC Data'!$B:$B,Summary!$C111)</f>
        <v>1204104</v>
      </c>
      <c r="Q111" s="19">
        <f ca="1">SUMIFS(OFFSET('BPC Data'!$F:$F,0,Summary!Q$2),'BPC Data'!$E:$E,Summary!$D111,'BPC Data'!$B:$B,Summary!$C111)</f>
        <v>1191837</v>
      </c>
      <c r="R111" s="183">
        <f ca="1">SUMIFS(OFFSET('BPC Data'!$F:$F,0,Summary!R$2),'BPC Data'!$E:$E,Summary!$D111,'BPC Data'!$B:$B,Summary!$C111)</f>
        <v>1263819</v>
      </c>
      <c r="S111" s="187">
        <f t="shared" ca="1" si="40"/>
        <v>15592236</v>
      </c>
      <c r="T111" s="181"/>
    </row>
    <row r="112" spans="1:20" s="17" customFormat="1" x14ac:dyDescent="0.25">
      <c r="A112" s="17">
        <f t="shared" si="51"/>
        <v>10</v>
      </c>
      <c r="B112"/>
      <c r="C112" t="str">
        <f>$F108</f>
        <v>SHC of Muncie</v>
      </c>
      <c r="D112" s="3" t="str">
        <f t="shared" si="44"/>
        <v>T_OPEX - Tenant Operating Expenses</v>
      </c>
      <c r="E112"/>
      <c r="F112" s="24" t="str">
        <f>_xll.EVDES(D112)</f>
        <v>Tenant Operating Expenses</v>
      </c>
      <c r="G112" s="19">
        <f ca="1">SUMIFS(OFFSET('BPC Data'!$F:$F,0,Summary!G$2),'BPC Data'!$E:$E,Summary!$D112,'BPC Data'!$B:$B,Summary!$C112)</f>
        <v>1066188</v>
      </c>
      <c r="H112" s="183">
        <f ca="1">SUMIFS(OFFSET('BPC Data'!$F:$F,0,Summary!H$2),'BPC Data'!$E:$E,Summary!$D112,'BPC Data'!$B:$B,Summary!$C112)</f>
        <v>1225525</v>
      </c>
      <c r="I112" s="19">
        <f ca="1">SUMIFS(OFFSET('BPC Data'!$F:$F,0,Summary!I$2),'BPC Data'!$E:$E,Summary!$D112,'BPC Data'!$B:$B,Summary!$C112)</f>
        <v>1188939</v>
      </c>
      <c r="J112" s="183">
        <f ca="1">SUMIFS(OFFSET('BPC Data'!$F:$F,0,Summary!J$2),'BPC Data'!$E:$E,Summary!$D112,'BPC Data'!$B:$B,Summary!$C112)</f>
        <v>1103244</v>
      </c>
      <c r="K112" s="19">
        <f ca="1">SUMIFS(OFFSET('BPC Data'!$F:$F,0,Summary!K$2),'BPC Data'!$E:$E,Summary!$D112,'BPC Data'!$B:$B,Summary!$C112)</f>
        <v>1078813</v>
      </c>
      <c r="L112" s="183">
        <f ca="1">SUMIFS(OFFSET('BPC Data'!$F:$F,0,Summary!L$2),'BPC Data'!$E:$E,Summary!$D112,'BPC Data'!$B:$B,Summary!$C112)</f>
        <v>993247</v>
      </c>
      <c r="M112" s="19">
        <f ca="1">SUMIFS(OFFSET('BPC Data'!$F:$F,0,Summary!M$2),'BPC Data'!$E:$E,Summary!$D112,'BPC Data'!$B:$B,Summary!$C112)</f>
        <v>973128</v>
      </c>
      <c r="N112" s="183">
        <f ca="1">SUMIFS(OFFSET('BPC Data'!$F:$F,0,Summary!N$2),'BPC Data'!$E:$E,Summary!$D112,'BPC Data'!$B:$B,Summary!$C112)</f>
        <v>881330</v>
      </c>
      <c r="O112" s="19">
        <f ca="1">SUMIFS(OFFSET('BPC Data'!$F:$F,0,Summary!O$2),'BPC Data'!$E:$E,Summary!$D112,'BPC Data'!$B:$B,Summary!$C112)</f>
        <v>822733</v>
      </c>
      <c r="P112" s="183">
        <f ca="1">SUMIFS(OFFSET('BPC Data'!$F:$F,0,Summary!P$2),'BPC Data'!$E:$E,Summary!$D112,'BPC Data'!$B:$B,Summary!$C112)</f>
        <v>1131107</v>
      </c>
      <c r="Q112" s="19">
        <f ca="1">SUMIFS(OFFSET('BPC Data'!$F:$F,0,Summary!Q$2),'BPC Data'!$E:$E,Summary!$D112,'BPC Data'!$B:$B,Summary!$C112)</f>
        <v>980858</v>
      </c>
      <c r="R112" s="183">
        <f ca="1">SUMIFS(OFFSET('BPC Data'!$F:$F,0,Summary!R$2),'BPC Data'!$E:$E,Summary!$D112,'BPC Data'!$B:$B,Summary!$C112)</f>
        <v>1082937</v>
      </c>
      <c r="S112" s="187">
        <f t="shared" ca="1" si="40"/>
        <v>12528049</v>
      </c>
      <c r="T112" s="181"/>
    </row>
    <row r="113" spans="1:20" s="17" customFormat="1" x14ac:dyDescent="0.25">
      <c r="A113" s="17">
        <f t="shared" si="51"/>
        <v>10</v>
      </c>
      <c r="B113"/>
      <c r="C113" t="str">
        <f>$F108</f>
        <v>SHC of Muncie</v>
      </c>
      <c r="D113" s="3" t="str">
        <f t="shared" si="44"/>
        <v>T_BAD_DEBT - Tenant Bad Debt Expense</v>
      </c>
      <c r="E113"/>
      <c r="F113" s="24" t="str">
        <f>_xll.EVDES(D113)</f>
        <v>Tenant Bad Debt Expense</v>
      </c>
      <c r="G113" s="19">
        <f ca="1">SUMIFS(OFFSET('BPC Data'!$F:$F,0,Summary!G$2),'BPC Data'!$E:$E,Summary!$D113,'BPC Data'!$B:$B,Summary!$C113)</f>
        <v>214161</v>
      </c>
      <c r="H113" s="183">
        <f ca="1">SUMIFS(OFFSET('BPC Data'!$F:$F,0,Summary!H$2),'BPC Data'!$E:$E,Summary!$D113,'BPC Data'!$B:$B,Summary!$C113)</f>
        <v>123935</v>
      </c>
      <c r="I113" s="19">
        <f ca="1">SUMIFS(OFFSET('BPC Data'!$F:$F,0,Summary!I$2),'BPC Data'!$E:$E,Summary!$D113,'BPC Data'!$B:$B,Summary!$C113)</f>
        <v>80000</v>
      </c>
      <c r="J113" s="183">
        <f ca="1">SUMIFS(OFFSET('BPC Data'!$F:$F,0,Summary!J$2),'BPC Data'!$E:$E,Summary!$D113,'BPC Data'!$B:$B,Summary!$C113)</f>
        <v>110018</v>
      </c>
      <c r="K113" s="19">
        <f ca="1">SUMIFS(OFFSET('BPC Data'!$F:$F,0,Summary!K$2),'BPC Data'!$E:$E,Summary!$D113,'BPC Data'!$B:$B,Summary!$C113)</f>
        <v>38596</v>
      </c>
      <c r="L113" s="183">
        <f ca="1">SUMIFS(OFFSET('BPC Data'!$F:$F,0,Summary!L$2),'BPC Data'!$E:$E,Summary!$D113,'BPC Data'!$B:$B,Summary!$C113)</f>
        <v>45000</v>
      </c>
      <c r="M113" s="19">
        <f ca="1">SUMIFS(OFFSET('BPC Data'!$F:$F,0,Summary!M$2),'BPC Data'!$E:$E,Summary!$D113,'BPC Data'!$B:$B,Summary!$C113)</f>
        <v>0</v>
      </c>
      <c r="N113" s="183">
        <f ca="1">SUMIFS(OFFSET('BPC Data'!$F:$F,0,Summary!N$2),'BPC Data'!$E:$E,Summary!$D113,'BPC Data'!$B:$B,Summary!$C113)</f>
        <v>0</v>
      </c>
      <c r="O113" s="19">
        <f ca="1">SUMIFS(OFFSET('BPC Data'!$F:$F,0,Summary!O$2),'BPC Data'!$E:$E,Summary!$D113,'BPC Data'!$B:$B,Summary!$C113)</f>
        <v>0</v>
      </c>
      <c r="P113" s="183">
        <f ca="1">SUMIFS(OFFSET('BPC Data'!$F:$F,0,Summary!P$2),'BPC Data'!$E:$E,Summary!$D113,'BPC Data'!$B:$B,Summary!$C113)</f>
        <v>0</v>
      </c>
      <c r="Q113" s="19">
        <f ca="1">SUMIFS(OFFSET('BPC Data'!$F:$F,0,Summary!Q$2),'BPC Data'!$E:$E,Summary!$D113,'BPC Data'!$B:$B,Summary!$C113)</f>
        <v>5000</v>
      </c>
      <c r="R113" s="183">
        <f ca="1">SUMIFS(OFFSET('BPC Data'!$F:$F,0,Summary!R$2),'BPC Data'!$E:$E,Summary!$D113,'BPC Data'!$B:$B,Summary!$C113)</f>
        <v>0</v>
      </c>
      <c r="S113" s="187">
        <f t="shared" ca="1" si="40"/>
        <v>616710</v>
      </c>
      <c r="T113" s="181"/>
    </row>
    <row r="114" spans="1:20" s="17" customFormat="1" x14ac:dyDescent="0.25">
      <c r="A114" s="17">
        <f t="shared" si="51"/>
        <v>10</v>
      </c>
      <c r="B114"/>
      <c r="C114" t="str">
        <f>$F108</f>
        <v>SHC of Muncie</v>
      </c>
      <c r="D114" s="2" t="str">
        <f t="shared" si="44"/>
        <v>T_EBITDARM - EBITDARM</v>
      </c>
      <c r="E114"/>
      <c r="F114" s="24" t="str">
        <f>_xll.EVDES(D114)</f>
        <v>EBITDARM</v>
      </c>
      <c r="G114" s="19">
        <f ca="1">SUMIFS(OFFSET('BPC Data'!$F:$F,0,Summary!G$2),'BPC Data'!$E:$E,Summary!$D114,'BPC Data'!$B:$B,Summary!$C114)</f>
        <v>175656</v>
      </c>
      <c r="H114" s="183">
        <f ca="1">SUMIFS(OFFSET('BPC Data'!$F:$F,0,Summary!H$2),'BPC Data'!$E:$E,Summary!$D114,'BPC Data'!$B:$B,Summary!$C114)</f>
        <v>202132</v>
      </c>
      <c r="I114" s="19">
        <f ca="1">SUMIFS(OFFSET('BPC Data'!$F:$F,0,Summary!I$2),'BPC Data'!$E:$E,Summary!$D114,'BPC Data'!$B:$B,Summary!$C114)</f>
        <v>230812</v>
      </c>
      <c r="J114" s="183">
        <f ca="1">SUMIFS(OFFSET('BPC Data'!$F:$F,0,Summary!J$2),'BPC Data'!$E:$E,Summary!$D114,'BPC Data'!$B:$B,Summary!$C114)</f>
        <v>321029</v>
      </c>
      <c r="K114" s="19">
        <f ca="1">SUMIFS(OFFSET('BPC Data'!$F:$F,0,Summary!K$2),'BPC Data'!$E:$E,Summary!$D114,'BPC Data'!$B:$B,Summary!$C114)</f>
        <v>306259</v>
      </c>
      <c r="L114" s="183">
        <f ca="1">SUMIFS(OFFSET('BPC Data'!$F:$F,0,Summary!L$2),'BPC Data'!$E:$E,Summary!$D114,'BPC Data'!$B:$B,Summary!$C114)</f>
        <v>220831</v>
      </c>
      <c r="M114" s="19">
        <f ca="1">SUMIFS(OFFSET('BPC Data'!$F:$F,0,Summary!M$2),'BPC Data'!$E:$E,Summary!$D114,'BPC Data'!$B:$B,Summary!$C114)</f>
        <v>271158</v>
      </c>
      <c r="N114" s="183">
        <f ca="1">SUMIFS(OFFSET('BPC Data'!$F:$F,0,Summary!N$2),'BPC Data'!$E:$E,Summary!$D114,'BPC Data'!$B:$B,Summary!$C114)</f>
        <v>413047</v>
      </c>
      <c r="O114" s="19">
        <f ca="1">SUMIFS(OFFSET('BPC Data'!$F:$F,0,Summary!O$2),'BPC Data'!$E:$E,Summary!$D114,'BPC Data'!$B:$B,Summary!$C114)</f>
        <v>458405</v>
      </c>
      <c r="P114" s="183">
        <f ca="1">SUMIFS(OFFSET('BPC Data'!$F:$F,0,Summary!P$2),'BPC Data'!$E:$E,Summary!$D114,'BPC Data'!$B:$B,Summary!$C114)</f>
        <v>72997</v>
      </c>
      <c r="Q114" s="19">
        <f ca="1">SUMIFS(OFFSET('BPC Data'!$F:$F,0,Summary!Q$2),'BPC Data'!$E:$E,Summary!$D114,'BPC Data'!$B:$B,Summary!$C114)</f>
        <v>210979</v>
      </c>
      <c r="R114" s="183">
        <f ca="1">SUMIFS(OFFSET('BPC Data'!$F:$F,0,Summary!R$2),'BPC Data'!$E:$E,Summary!$D114,'BPC Data'!$B:$B,Summary!$C114)</f>
        <v>180882</v>
      </c>
      <c r="S114" s="187">
        <f t="shared" ca="1" si="40"/>
        <v>3064187</v>
      </c>
      <c r="T114" s="181"/>
    </row>
    <row r="115" spans="1:20" s="17" customFormat="1" x14ac:dyDescent="0.25">
      <c r="A115" s="17">
        <f t="shared" si="51"/>
        <v>10</v>
      </c>
      <c r="B115"/>
      <c r="C115" t="str">
        <f>$F108</f>
        <v>SHC of Muncie</v>
      </c>
      <c r="D115" s="2" t="str">
        <f t="shared" si="44"/>
        <v>T_MGMT_FEE - Tenant Management Fee - Actual</v>
      </c>
      <c r="E115"/>
      <c r="F115" s="24" t="str">
        <f>_xll.EVDES(D115)</f>
        <v>Tenant Management Fee - Actual</v>
      </c>
      <c r="G115" s="19">
        <f ca="1">SUMIFS(OFFSET('BPC Data'!$F:$F,0,Summary!G$2),'BPC Data'!$E:$E,Summary!$D115,'BPC Data'!$B:$B,Summary!$C115)</f>
        <v>61863</v>
      </c>
      <c r="H115" s="183">
        <f ca="1">SUMIFS(OFFSET('BPC Data'!$F:$F,0,Summary!H$2),'BPC Data'!$E:$E,Summary!$D115,'BPC Data'!$B:$B,Summary!$C115)</f>
        <v>72097</v>
      </c>
      <c r="I115" s="19">
        <f ca="1">SUMIFS(OFFSET('BPC Data'!$F:$F,0,Summary!I$2),'BPC Data'!$E:$E,Summary!$D115,'BPC Data'!$B:$B,Summary!$C115)</f>
        <v>71697</v>
      </c>
      <c r="J115" s="183">
        <f ca="1">SUMIFS(OFFSET('BPC Data'!$F:$F,0,Summary!J$2),'BPC Data'!$E:$E,Summary!$D115,'BPC Data'!$B:$B,Summary!$C115)</f>
        <v>60369</v>
      </c>
      <c r="K115" s="19">
        <f ca="1">SUMIFS(OFFSET('BPC Data'!$F:$F,0,Summary!K$2),'BPC Data'!$E:$E,Summary!$D115,'BPC Data'!$B:$B,Summary!$C115)</f>
        <v>69946</v>
      </c>
      <c r="L115" s="183">
        <f ca="1">SUMIFS(OFFSET('BPC Data'!$F:$F,0,Summary!L$2),'BPC Data'!$E:$E,Summary!$D115,'BPC Data'!$B:$B,Summary!$C115)</f>
        <v>61311</v>
      </c>
      <c r="M115" s="19">
        <f ca="1">SUMIFS(OFFSET('BPC Data'!$F:$F,0,Summary!M$2),'BPC Data'!$E:$E,Summary!$D115,'BPC Data'!$B:$B,Summary!$C115)</f>
        <v>62836</v>
      </c>
      <c r="N115" s="183">
        <f ca="1">SUMIFS(OFFSET('BPC Data'!$F:$F,0,Summary!N$2),'BPC Data'!$E:$E,Summary!$D115,'BPC Data'!$B:$B,Summary!$C115)</f>
        <v>65366</v>
      </c>
      <c r="O115" s="19">
        <f ca="1">SUMIFS(OFFSET('BPC Data'!$F:$F,0,Summary!O$2),'BPC Data'!$E:$E,Summary!$D115,'BPC Data'!$B:$B,Summary!$C115)</f>
        <v>64697</v>
      </c>
      <c r="P115" s="183">
        <f ca="1">SUMIFS(OFFSET('BPC Data'!$F:$F,0,Summary!P$2),'BPC Data'!$E:$E,Summary!$D115,'BPC Data'!$B:$B,Summary!$C115)</f>
        <v>60807</v>
      </c>
      <c r="Q115" s="19">
        <f ca="1">SUMIFS(OFFSET('BPC Data'!$F:$F,0,Summary!Q$2),'BPC Data'!$E:$E,Summary!$D115,'BPC Data'!$B:$B,Summary!$C115)</f>
        <v>60188</v>
      </c>
      <c r="R115" s="183">
        <f ca="1">SUMIFS(OFFSET('BPC Data'!$F:$F,0,Summary!R$2),'BPC Data'!$E:$E,Summary!$D115,'BPC Data'!$B:$B,Summary!$C115)</f>
        <v>63823</v>
      </c>
      <c r="S115" s="187">
        <f t="shared" ca="1" si="40"/>
        <v>775000</v>
      </c>
      <c r="T115" s="181"/>
    </row>
    <row r="116" spans="1:20" s="17" customFormat="1" x14ac:dyDescent="0.25">
      <c r="A116" s="17">
        <f t="shared" si="51"/>
        <v>10</v>
      </c>
      <c r="B116"/>
      <c r="C116" t="str">
        <f>$F108</f>
        <v>SHC of Muncie</v>
      </c>
      <c r="D116" s="1" t="str">
        <f t="shared" si="44"/>
        <v>T_EBITDAR - EBITDAR</v>
      </c>
      <c r="E116"/>
      <c r="F116" s="24" t="str">
        <f>_xll.EVDES(D116)</f>
        <v>EBITDAR</v>
      </c>
      <c r="G116" s="19">
        <f ca="1">SUMIFS(OFFSET('BPC Data'!$F:$F,0,Summary!G$2),'BPC Data'!$E:$E,Summary!$D116,'BPC Data'!$B:$B,Summary!$C116)</f>
        <v>113793</v>
      </c>
      <c r="H116" s="183">
        <f ca="1">SUMIFS(OFFSET('BPC Data'!$F:$F,0,Summary!H$2),'BPC Data'!$E:$E,Summary!$D116,'BPC Data'!$B:$B,Summary!$C116)</f>
        <v>130035</v>
      </c>
      <c r="I116" s="19">
        <f ca="1">SUMIFS(OFFSET('BPC Data'!$F:$F,0,Summary!I$2),'BPC Data'!$E:$E,Summary!$D116,'BPC Data'!$B:$B,Summary!$C116)</f>
        <v>159115</v>
      </c>
      <c r="J116" s="183">
        <f ca="1">SUMIFS(OFFSET('BPC Data'!$F:$F,0,Summary!J$2),'BPC Data'!$E:$E,Summary!$D116,'BPC Data'!$B:$B,Summary!$C116)</f>
        <v>260660</v>
      </c>
      <c r="K116" s="19">
        <f ca="1">SUMIFS(OFFSET('BPC Data'!$F:$F,0,Summary!K$2),'BPC Data'!$E:$E,Summary!$D116,'BPC Data'!$B:$B,Summary!$C116)</f>
        <v>236313</v>
      </c>
      <c r="L116" s="183">
        <f ca="1">SUMIFS(OFFSET('BPC Data'!$F:$F,0,Summary!L$2),'BPC Data'!$E:$E,Summary!$D116,'BPC Data'!$B:$B,Summary!$C116)</f>
        <v>159520</v>
      </c>
      <c r="M116" s="19">
        <f ca="1">SUMIFS(OFFSET('BPC Data'!$F:$F,0,Summary!M$2),'BPC Data'!$E:$E,Summary!$D116,'BPC Data'!$B:$B,Summary!$C116)</f>
        <v>208322</v>
      </c>
      <c r="N116" s="183">
        <f ca="1">SUMIFS(OFFSET('BPC Data'!$F:$F,0,Summary!N$2),'BPC Data'!$E:$E,Summary!$D116,'BPC Data'!$B:$B,Summary!$C116)</f>
        <v>347681</v>
      </c>
      <c r="O116" s="19">
        <f ca="1">SUMIFS(OFFSET('BPC Data'!$F:$F,0,Summary!O$2),'BPC Data'!$E:$E,Summary!$D116,'BPC Data'!$B:$B,Summary!$C116)</f>
        <v>393708</v>
      </c>
      <c r="P116" s="183">
        <f ca="1">SUMIFS(OFFSET('BPC Data'!$F:$F,0,Summary!P$2),'BPC Data'!$E:$E,Summary!$D116,'BPC Data'!$B:$B,Summary!$C116)</f>
        <v>12190</v>
      </c>
      <c r="Q116" s="19">
        <f ca="1">SUMIFS(OFFSET('BPC Data'!$F:$F,0,Summary!Q$2),'BPC Data'!$E:$E,Summary!$D116,'BPC Data'!$B:$B,Summary!$C116)</f>
        <v>150791</v>
      </c>
      <c r="R116" s="183">
        <f ca="1">SUMIFS(OFFSET('BPC Data'!$F:$F,0,Summary!R$2),'BPC Data'!$E:$E,Summary!$D116,'BPC Data'!$B:$B,Summary!$C116)</f>
        <v>117059</v>
      </c>
      <c r="S116" s="187">
        <f t="shared" ca="1" si="40"/>
        <v>2289187</v>
      </c>
      <c r="T116" s="181"/>
    </row>
    <row r="117" spans="1:20" s="17" customFormat="1" x14ac:dyDescent="0.25">
      <c r="A117" s="17">
        <f t="shared" si="51"/>
        <v>10</v>
      </c>
      <c r="B117"/>
      <c r="C117" t="str">
        <f>$F108</f>
        <v>SHC of Muncie</v>
      </c>
      <c r="D117" s="1" t="str">
        <f t="shared" si="44"/>
        <v>T_RENT_EXP - Tenant Rent Expense</v>
      </c>
      <c r="E117"/>
      <c r="F117" s="24" t="str">
        <f>_xll.EVDES(D117)</f>
        <v>Tenant Rent Expense</v>
      </c>
      <c r="G117" s="19">
        <f ca="1">SUMIFS(OFFSET('BPC Data'!$F:$F,0,Summary!G$2),'BPC Data'!$E:$E,Summary!$D117,'BPC Data'!$B:$B,Summary!$C117)</f>
        <v>387217</v>
      </c>
      <c r="H117" s="183">
        <f ca="1">SUMIFS(OFFSET('BPC Data'!$F:$F,0,Summary!H$2),'BPC Data'!$E:$E,Summary!$D117,'BPC Data'!$B:$B,Summary!$C117)</f>
        <v>387217</v>
      </c>
      <c r="I117" s="19">
        <f ca="1">SUMIFS(OFFSET('BPC Data'!$F:$F,0,Summary!I$2),'BPC Data'!$E:$E,Summary!$D117,'BPC Data'!$B:$B,Summary!$C117)</f>
        <v>387217</v>
      </c>
      <c r="J117" s="183">
        <f ca="1">SUMIFS(OFFSET('BPC Data'!$F:$F,0,Summary!J$2),'BPC Data'!$E:$E,Summary!$D117,'BPC Data'!$B:$B,Summary!$C117)</f>
        <v>396898</v>
      </c>
      <c r="K117" s="19">
        <f ca="1">SUMIFS(OFFSET('BPC Data'!$F:$F,0,Summary!K$2),'BPC Data'!$E:$E,Summary!$D117,'BPC Data'!$B:$B,Summary!$C117)</f>
        <v>396898</v>
      </c>
      <c r="L117" s="183">
        <f ca="1">SUMIFS(OFFSET('BPC Data'!$F:$F,0,Summary!L$2),'BPC Data'!$E:$E,Summary!$D117,'BPC Data'!$B:$B,Summary!$C117)</f>
        <v>396898</v>
      </c>
      <c r="M117" s="19">
        <f ca="1">SUMIFS(OFFSET('BPC Data'!$F:$F,0,Summary!M$2),'BPC Data'!$E:$E,Summary!$D117,'BPC Data'!$B:$B,Summary!$C117)</f>
        <v>396898</v>
      </c>
      <c r="N117" s="183">
        <f ca="1">SUMIFS(OFFSET('BPC Data'!$F:$F,0,Summary!N$2),'BPC Data'!$E:$E,Summary!$D117,'BPC Data'!$B:$B,Summary!$C117)</f>
        <v>396898</v>
      </c>
      <c r="O117" s="19">
        <f ca="1">SUMIFS(OFFSET('BPC Data'!$F:$F,0,Summary!O$2),'BPC Data'!$E:$E,Summary!$D117,'BPC Data'!$B:$B,Summary!$C117)</f>
        <v>396898</v>
      </c>
      <c r="P117" s="183">
        <f ca="1">SUMIFS(OFFSET('BPC Data'!$F:$F,0,Summary!P$2),'BPC Data'!$E:$E,Summary!$D117,'BPC Data'!$B:$B,Summary!$C117)</f>
        <v>396898</v>
      </c>
      <c r="Q117" s="19">
        <f ca="1">SUMIFS(OFFSET('BPC Data'!$F:$F,0,Summary!Q$2),'BPC Data'!$E:$E,Summary!$D117,'BPC Data'!$B:$B,Summary!$C117)</f>
        <v>396898</v>
      </c>
      <c r="R117" s="183">
        <f ca="1">SUMIFS(OFFSET('BPC Data'!$F:$F,0,Summary!R$2),'BPC Data'!$E:$E,Summary!$D117,'BPC Data'!$B:$B,Summary!$C117)</f>
        <v>396898</v>
      </c>
      <c r="S117" s="187">
        <f t="shared" ca="1" si="40"/>
        <v>4733733</v>
      </c>
      <c r="T117" s="181"/>
    </row>
    <row r="118" spans="1:20" s="17" customFormat="1" x14ac:dyDescent="0.25">
      <c r="A118" s="17">
        <f t="shared" si="51"/>
        <v>10</v>
      </c>
      <c r="B118"/>
      <c r="C118"/>
      <c r="D118" s="1" t="str">
        <f t="shared" si="44"/>
        <v>x</v>
      </c>
      <c r="E118"/>
      <c r="F118" s="24" t="s">
        <v>0</v>
      </c>
      <c r="G118" s="21">
        <f ca="1">IFERROR(G116/G117,"N/A")</f>
        <v>0.29387397764044448</v>
      </c>
      <c r="H118" s="185">
        <f t="shared" ref="H118:I118" ca="1" si="52">IFERROR(H116/H117,"N/A")</f>
        <v>0.33581945007579728</v>
      </c>
      <c r="I118" s="21">
        <f t="shared" ca="1" si="52"/>
        <v>0.41091945859815038</v>
      </c>
      <c r="J118" s="185">
        <f t="shared" ref="J118:R118" ca="1" si="53">IFERROR(J116/J117,"N/A")</f>
        <v>0.65674304229298208</v>
      </c>
      <c r="K118" s="21">
        <f t="shared" ca="1" si="53"/>
        <v>0.59539982564789951</v>
      </c>
      <c r="L118" s="185">
        <f t="shared" ca="1" si="53"/>
        <v>0.4019168652903265</v>
      </c>
      <c r="M118" s="21">
        <f t="shared" ca="1" si="53"/>
        <v>0.52487540879520678</v>
      </c>
      <c r="N118" s="185">
        <f t="shared" ca="1" si="53"/>
        <v>0.87599584779968653</v>
      </c>
      <c r="O118" s="21">
        <f t="shared" ca="1" si="53"/>
        <v>0.99196267050980358</v>
      </c>
      <c r="P118" s="185">
        <f t="shared" ca="1" si="53"/>
        <v>3.0713180716456116E-2</v>
      </c>
      <c r="Q118" s="21">
        <f t="shared" ca="1" si="53"/>
        <v>0.37992380913987978</v>
      </c>
      <c r="R118" s="185">
        <f t="shared" ca="1" si="53"/>
        <v>0.29493471874385863</v>
      </c>
      <c r="S118" s="187">
        <f t="shared" ca="1" si="40"/>
        <v>5.7930782552504922</v>
      </c>
      <c r="T118" s="181"/>
    </row>
    <row r="119" spans="1:20" s="17" customFormat="1" x14ac:dyDescent="0.25">
      <c r="A119" s="17">
        <f>IF(AND(D119&lt;&gt;"",C119=""),A118+1,A118)</f>
        <v>11</v>
      </c>
      <c r="B119" s="5"/>
      <c r="C119" s="5"/>
      <c r="D119" s="5" t="str">
        <f t="shared" si="44"/>
        <v>x</v>
      </c>
      <c r="E119" s="5"/>
      <c r="F119" s="23" t="str">
        <f>INDEX(PropertyList!$D:$D,MATCH(Summary!$A119,PropertyList!$C:$C,0))</f>
        <v>SHC at Parkwood</v>
      </c>
      <c r="G119" s="11"/>
      <c r="H119" s="182"/>
      <c r="I119" s="11"/>
      <c r="J119" s="182"/>
      <c r="K119" s="11"/>
      <c r="L119" s="182"/>
      <c r="M119" s="11"/>
      <c r="N119" s="182"/>
      <c r="O119" s="11"/>
      <c r="P119" s="182"/>
      <c r="Q119" s="11"/>
      <c r="R119" s="182"/>
      <c r="S119" s="187">
        <f t="shared" si="40"/>
        <v>0</v>
      </c>
      <c r="T119" s="181"/>
    </row>
    <row r="120" spans="1:20" s="17" customFormat="1" x14ac:dyDescent="0.25">
      <c r="A120" s="17">
        <f>IF(AND(F120&lt;&gt;"",D120=""),A119+1,A119)</f>
        <v>11</v>
      </c>
      <c r="C120" t="str">
        <f>$F119</f>
        <v>SHC at Parkwood</v>
      </c>
      <c r="D120" s="3" t="str">
        <f t="shared" si="44"/>
        <v>PAY_PAT_DAYS - Total Payor Patient Days</v>
      </c>
      <c r="F120" s="24" t="str">
        <f>_xll.EVDES(D120)</f>
        <v>Total Payor Patient Days</v>
      </c>
      <c r="G120" s="19">
        <f ca="1">SUMIFS(OFFSET('BPC Data'!$F:$F,0,Summary!G$2),'BPC Data'!$E:$E,Summary!$D120,'BPC Data'!$B:$B,Summary!$C120)</f>
        <v>2067</v>
      </c>
      <c r="H120" s="183">
        <f ca="1">SUMIFS(OFFSET('BPC Data'!$F:$F,0,Summary!H$2),'BPC Data'!$E:$E,Summary!$D120,'BPC Data'!$B:$B,Summary!$C120)</f>
        <v>1992</v>
      </c>
      <c r="I120" s="19">
        <f ca="1">SUMIFS(OFFSET('BPC Data'!$F:$F,0,Summary!I$2),'BPC Data'!$E:$E,Summary!$D120,'BPC Data'!$B:$B,Summary!$C120)</f>
        <v>1956</v>
      </c>
      <c r="J120" s="183">
        <f ca="1">SUMIFS(OFFSET('BPC Data'!$F:$F,0,Summary!J$2),'BPC Data'!$E:$E,Summary!$D120,'BPC Data'!$B:$B,Summary!$C120)</f>
        <v>2071</v>
      </c>
      <c r="K120" s="19">
        <f ca="1">SUMIFS(OFFSET('BPC Data'!$F:$F,0,Summary!K$2),'BPC Data'!$E:$E,Summary!$D120,'BPC Data'!$B:$B,Summary!$C120)</f>
        <v>1962</v>
      </c>
      <c r="L120" s="183">
        <f ca="1">SUMIFS(OFFSET('BPC Data'!$F:$F,0,Summary!L$2),'BPC Data'!$E:$E,Summary!$D120,'BPC Data'!$B:$B,Summary!$C120)</f>
        <v>1792</v>
      </c>
      <c r="M120" s="19">
        <f ca="1">SUMIFS(OFFSET('BPC Data'!$F:$F,0,Summary!M$2),'BPC Data'!$E:$E,Summary!$D120,'BPC Data'!$B:$B,Summary!$C120)</f>
        <v>2129</v>
      </c>
      <c r="N120" s="183">
        <f ca="1">SUMIFS(OFFSET('BPC Data'!$F:$F,0,Summary!N$2),'BPC Data'!$E:$E,Summary!$D120,'BPC Data'!$B:$B,Summary!$C120)</f>
        <v>2018</v>
      </c>
      <c r="O120" s="19">
        <f ca="1">SUMIFS(OFFSET('BPC Data'!$F:$F,0,Summary!O$2),'BPC Data'!$E:$E,Summary!$D120,'BPC Data'!$B:$B,Summary!$C120)</f>
        <v>2044</v>
      </c>
      <c r="P120" s="183">
        <f ca="1">SUMIFS(OFFSET('BPC Data'!$F:$F,0,Summary!P$2),'BPC Data'!$E:$E,Summary!$D120,'BPC Data'!$B:$B,Summary!$C120)</f>
        <v>1942</v>
      </c>
      <c r="Q120" s="19">
        <f ca="1">SUMIFS(OFFSET('BPC Data'!$F:$F,0,Summary!Q$2),'BPC Data'!$E:$E,Summary!$D120,'BPC Data'!$B:$B,Summary!$C120)</f>
        <v>2049</v>
      </c>
      <c r="R120" s="183">
        <f ca="1">SUMIFS(OFFSET('BPC Data'!$F:$F,0,Summary!R$2),'BPC Data'!$E:$E,Summary!$D120,'BPC Data'!$B:$B,Summary!$C120)</f>
        <v>1966</v>
      </c>
      <c r="S120" s="187">
        <f t="shared" ca="1" si="40"/>
        <v>23988</v>
      </c>
      <c r="T120" s="181"/>
    </row>
    <row r="121" spans="1:20" s="17" customFormat="1" x14ac:dyDescent="0.25">
      <c r="A121" s="17">
        <f t="shared" ref="A121:A129" si="54">IF(AND(F121&lt;&gt;"",D121=""),A120+1,A120)</f>
        <v>11</v>
      </c>
      <c r="C121" t="str">
        <f>$F119</f>
        <v>SHC at Parkwood</v>
      </c>
      <c r="D121" s="3" t="str">
        <f t="shared" si="44"/>
        <v>A_BEDS_TOTAL - Total Available Beds</v>
      </c>
      <c r="F121" s="24" t="str">
        <f>_xll.EVDES(D121)</f>
        <v>Total Available Beds</v>
      </c>
      <c r="G121" s="19">
        <f ca="1">SUMIFS(OFFSET('BPC Data'!$F:$F,0,Summary!G$2),'BPC Data'!$E:$E,Summary!$D121,'BPC Data'!$B:$B,Summary!$C121)</f>
        <v>106</v>
      </c>
      <c r="H121" s="183">
        <f ca="1">SUMIFS(OFFSET('BPC Data'!$F:$F,0,Summary!H$2),'BPC Data'!$E:$E,Summary!$D121,'BPC Data'!$B:$B,Summary!$C121)</f>
        <v>106</v>
      </c>
      <c r="I121" s="19">
        <f ca="1">SUMIFS(OFFSET('BPC Data'!$F:$F,0,Summary!I$2),'BPC Data'!$E:$E,Summary!$D121,'BPC Data'!$B:$B,Summary!$C121)</f>
        <v>106</v>
      </c>
      <c r="J121" s="183">
        <f ca="1">SUMIFS(OFFSET('BPC Data'!$F:$F,0,Summary!J$2),'BPC Data'!$E:$E,Summary!$D121,'BPC Data'!$B:$B,Summary!$C121)</f>
        <v>106</v>
      </c>
      <c r="K121" s="19">
        <f ca="1">SUMIFS(OFFSET('BPC Data'!$F:$F,0,Summary!K$2),'BPC Data'!$E:$E,Summary!$D121,'BPC Data'!$B:$B,Summary!$C121)</f>
        <v>106</v>
      </c>
      <c r="L121" s="183">
        <f ca="1">SUMIFS(OFFSET('BPC Data'!$F:$F,0,Summary!L$2),'BPC Data'!$E:$E,Summary!$D121,'BPC Data'!$B:$B,Summary!$C121)</f>
        <v>106</v>
      </c>
      <c r="M121" s="19">
        <f ca="1">SUMIFS(OFFSET('BPC Data'!$F:$F,0,Summary!M$2),'BPC Data'!$E:$E,Summary!$D121,'BPC Data'!$B:$B,Summary!$C121)</f>
        <v>106</v>
      </c>
      <c r="N121" s="183">
        <f ca="1">SUMIFS(OFFSET('BPC Data'!$F:$F,0,Summary!N$2),'BPC Data'!$E:$E,Summary!$D121,'BPC Data'!$B:$B,Summary!$C121)</f>
        <v>106</v>
      </c>
      <c r="O121" s="19">
        <f ca="1">SUMIFS(OFFSET('BPC Data'!$F:$F,0,Summary!O$2),'BPC Data'!$E:$E,Summary!$D121,'BPC Data'!$B:$B,Summary!$C121)</f>
        <v>106</v>
      </c>
      <c r="P121" s="183">
        <f ca="1">SUMIFS(OFFSET('BPC Data'!$F:$F,0,Summary!P$2),'BPC Data'!$E:$E,Summary!$D121,'BPC Data'!$B:$B,Summary!$C121)</f>
        <v>106</v>
      </c>
      <c r="Q121" s="19">
        <f ca="1">SUMIFS(OFFSET('BPC Data'!$F:$F,0,Summary!Q$2),'BPC Data'!$E:$E,Summary!$D121,'BPC Data'!$B:$B,Summary!$C121)</f>
        <v>106</v>
      </c>
      <c r="R121" s="183">
        <f ca="1">SUMIFS(OFFSET('BPC Data'!$F:$F,0,Summary!R$2),'BPC Data'!$E:$E,Summary!$D121,'BPC Data'!$B:$B,Summary!$C121)</f>
        <v>106</v>
      </c>
      <c r="S121" s="187">
        <f ca="1">R121</f>
        <v>106</v>
      </c>
      <c r="T121" s="181"/>
    </row>
    <row r="122" spans="1:20" s="17" customFormat="1" x14ac:dyDescent="0.25">
      <c r="A122" s="17">
        <f t="shared" si="54"/>
        <v>11</v>
      </c>
      <c r="B122"/>
      <c r="C122" t="str">
        <f>$F119</f>
        <v>SHC at Parkwood</v>
      </c>
      <c r="D122" s="3" t="str">
        <f t="shared" si="44"/>
        <v>T_REVENUES - Total Tenant Revenues</v>
      </c>
      <c r="E122"/>
      <c r="F122" s="24" t="str">
        <f>_xll.EVDES(D122)</f>
        <v>Total Tenant Revenues</v>
      </c>
      <c r="G122" s="19">
        <f ca="1">SUMIFS(OFFSET('BPC Data'!$F:$F,0,Summary!G$2),'BPC Data'!$E:$E,Summary!$D122,'BPC Data'!$B:$B,Summary!$C122)</f>
        <v>765440</v>
      </c>
      <c r="H122" s="183">
        <f ca="1">SUMIFS(OFFSET('BPC Data'!$F:$F,0,Summary!H$2),'BPC Data'!$E:$E,Summary!$D122,'BPC Data'!$B:$B,Summary!$C122)</f>
        <v>869879</v>
      </c>
      <c r="I122" s="19">
        <f ca="1">SUMIFS(OFFSET('BPC Data'!$F:$F,0,Summary!I$2),'BPC Data'!$E:$E,Summary!$D122,'BPC Data'!$B:$B,Summary!$C122)</f>
        <v>871688</v>
      </c>
      <c r="J122" s="183">
        <f ca="1">SUMIFS(OFFSET('BPC Data'!$F:$F,0,Summary!J$2),'BPC Data'!$E:$E,Summary!$D122,'BPC Data'!$B:$B,Summary!$C122)</f>
        <v>416080</v>
      </c>
      <c r="K122" s="19">
        <f ca="1">SUMIFS(OFFSET('BPC Data'!$F:$F,0,Summary!K$2),'BPC Data'!$E:$E,Summary!$D122,'BPC Data'!$B:$B,Summary!$C122)</f>
        <v>790850</v>
      </c>
      <c r="L122" s="183">
        <f ca="1">SUMIFS(OFFSET('BPC Data'!$F:$F,0,Summary!L$2),'BPC Data'!$E:$E,Summary!$D122,'BPC Data'!$B:$B,Summary!$C122)</f>
        <v>689000</v>
      </c>
      <c r="M122" s="19">
        <f ca="1">SUMIFS(OFFSET('BPC Data'!$F:$F,0,Summary!M$2),'BPC Data'!$E:$E,Summary!$D122,'BPC Data'!$B:$B,Summary!$C122)</f>
        <v>745988</v>
      </c>
      <c r="N122" s="183">
        <f ca="1">SUMIFS(OFFSET('BPC Data'!$F:$F,0,Summary!N$2),'BPC Data'!$E:$E,Summary!$D122,'BPC Data'!$B:$B,Summary!$C122)</f>
        <v>715958</v>
      </c>
      <c r="O122" s="19">
        <f ca="1">SUMIFS(OFFSET('BPC Data'!$F:$F,0,Summary!O$2),'BPC Data'!$E:$E,Summary!$D122,'BPC Data'!$B:$B,Summary!$C122)</f>
        <v>764613</v>
      </c>
      <c r="P122" s="183">
        <f ca="1">SUMIFS(OFFSET('BPC Data'!$F:$F,0,Summary!P$2),'BPC Data'!$E:$E,Summary!$D122,'BPC Data'!$B:$B,Summary!$C122)</f>
        <v>723462</v>
      </c>
      <c r="Q122" s="19">
        <f ca="1">SUMIFS(OFFSET('BPC Data'!$F:$F,0,Summary!Q$2),'BPC Data'!$E:$E,Summary!$D122,'BPC Data'!$B:$B,Summary!$C122)</f>
        <v>675174</v>
      </c>
      <c r="R122" s="183">
        <f ca="1">SUMIFS(OFFSET('BPC Data'!$F:$F,0,Summary!R$2),'BPC Data'!$E:$E,Summary!$D122,'BPC Data'!$B:$B,Summary!$C122)</f>
        <v>737124</v>
      </c>
      <c r="S122" s="187">
        <f t="shared" ca="1" si="40"/>
        <v>8765256</v>
      </c>
      <c r="T122" s="181"/>
    </row>
    <row r="123" spans="1:20" s="17" customFormat="1" x14ac:dyDescent="0.25">
      <c r="A123" s="17">
        <f t="shared" si="54"/>
        <v>11</v>
      </c>
      <c r="B123"/>
      <c r="C123" t="str">
        <f>$F119</f>
        <v>SHC at Parkwood</v>
      </c>
      <c r="D123" s="3" t="str">
        <f t="shared" si="44"/>
        <v>T_OPEX - Tenant Operating Expenses</v>
      </c>
      <c r="E123"/>
      <c r="F123" s="24" t="str">
        <f>_xll.EVDES(D123)</f>
        <v>Tenant Operating Expenses</v>
      </c>
      <c r="G123" s="19">
        <f ca="1">SUMIFS(OFFSET('BPC Data'!$F:$F,0,Summary!G$2),'BPC Data'!$E:$E,Summary!$D123,'BPC Data'!$B:$B,Summary!$C123)</f>
        <v>525582</v>
      </c>
      <c r="H123" s="183">
        <f ca="1">SUMIFS(OFFSET('BPC Data'!$F:$F,0,Summary!H$2),'BPC Data'!$E:$E,Summary!$D123,'BPC Data'!$B:$B,Summary!$C123)</f>
        <v>544259</v>
      </c>
      <c r="I123" s="19">
        <f ca="1">SUMIFS(OFFSET('BPC Data'!$F:$F,0,Summary!I$2),'BPC Data'!$E:$E,Summary!$D123,'BPC Data'!$B:$B,Summary!$C123)</f>
        <v>605960</v>
      </c>
      <c r="J123" s="183">
        <f ca="1">SUMIFS(OFFSET('BPC Data'!$F:$F,0,Summary!J$2),'BPC Data'!$E:$E,Summary!$D123,'BPC Data'!$B:$B,Summary!$C123)</f>
        <v>586458</v>
      </c>
      <c r="K123" s="19">
        <f ca="1">SUMIFS(OFFSET('BPC Data'!$F:$F,0,Summary!K$2),'BPC Data'!$E:$E,Summary!$D123,'BPC Data'!$B:$B,Summary!$C123)</f>
        <v>537307</v>
      </c>
      <c r="L123" s="183">
        <f ca="1">SUMIFS(OFFSET('BPC Data'!$F:$F,0,Summary!L$2),'BPC Data'!$E:$E,Summary!$D123,'BPC Data'!$B:$B,Summary!$C123)</f>
        <v>501909</v>
      </c>
      <c r="M123" s="19">
        <f ca="1">SUMIFS(OFFSET('BPC Data'!$F:$F,0,Summary!M$2),'BPC Data'!$E:$E,Summary!$D123,'BPC Data'!$B:$B,Summary!$C123)</f>
        <v>551961</v>
      </c>
      <c r="N123" s="183">
        <f ca="1">SUMIFS(OFFSET('BPC Data'!$F:$F,0,Summary!N$2),'BPC Data'!$E:$E,Summary!$D123,'BPC Data'!$B:$B,Summary!$C123)</f>
        <v>518221</v>
      </c>
      <c r="O123" s="19">
        <f ca="1">SUMIFS(OFFSET('BPC Data'!$F:$F,0,Summary!O$2),'BPC Data'!$E:$E,Summary!$D123,'BPC Data'!$B:$B,Summary!$C123)</f>
        <v>524229</v>
      </c>
      <c r="P123" s="183">
        <f ca="1">SUMIFS(OFFSET('BPC Data'!$F:$F,0,Summary!P$2),'BPC Data'!$E:$E,Summary!$D123,'BPC Data'!$B:$B,Summary!$C123)</f>
        <v>638694</v>
      </c>
      <c r="Q123" s="19">
        <f ca="1">SUMIFS(OFFSET('BPC Data'!$F:$F,0,Summary!Q$2),'BPC Data'!$E:$E,Summary!$D123,'BPC Data'!$B:$B,Summary!$C123)</f>
        <v>674438</v>
      </c>
      <c r="R123" s="183">
        <f ca="1">SUMIFS(OFFSET('BPC Data'!$F:$F,0,Summary!R$2),'BPC Data'!$E:$E,Summary!$D123,'BPC Data'!$B:$B,Summary!$C123)</f>
        <v>691205</v>
      </c>
      <c r="S123" s="187">
        <f t="shared" ca="1" si="40"/>
        <v>6900223</v>
      </c>
      <c r="T123" s="181"/>
    </row>
    <row r="124" spans="1:20" s="17" customFormat="1" x14ac:dyDescent="0.25">
      <c r="A124" s="17">
        <f t="shared" si="54"/>
        <v>11</v>
      </c>
      <c r="B124"/>
      <c r="C124" t="str">
        <f>$F119</f>
        <v>SHC at Parkwood</v>
      </c>
      <c r="D124" s="3" t="str">
        <f t="shared" si="44"/>
        <v>T_BAD_DEBT - Tenant Bad Debt Expense</v>
      </c>
      <c r="E124"/>
      <c r="F124" s="24" t="str">
        <f>_xll.EVDES(D124)</f>
        <v>Tenant Bad Debt Expense</v>
      </c>
      <c r="G124" s="19">
        <f ca="1">SUMIFS(OFFSET('BPC Data'!$F:$F,0,Summary!G$2),'BPC Data'!$E:$E,Summary!$D124,'BPC Data'!$B:$B,Summary!$C124)</f>
        <v>7021</v>
      </c>
      <c r="H124" s="183">
        <f ca="1">SUMIFS(OFFSET('BPC Data'!$F:$F,0,Summary!H$2),'BPC Data'!$E:$E,Summary!$D124,'BPC Data'!$B:$B,Summary!$C124)</f>
        <v>-10717</v>
      </c>
      <c r="I124" s="19">
        <f ca="1">SUMIFS(OFFSET('BPC Data'!$F:$F,0,Summary!I$2),'BPC Data'!$E:$E,Summary!$D124,'BPC Data'!$B:$B,Summary!$C124)</f>
        <v>30000</v>
      </c>
      <c r="J124" s="183">
        <f ca="1">SUMIFS(OFFSET('BPC Data'!$F:$F,0,Summary!J$2),'BPC Data'!$E:$E,Summary!$D124,'BPC Data'!$B:$B,Summary!$C124)</f>
        <v>7736</v>
      </c>
      <c r="K124" s="19">
        <f ca="1">SUMIFS(OFFSET('BPC Data'!$F:$F,0,Summary!K$2),'BPC Data'!$E:$E,Summary!$D124,'BPC Data'!$B:$B,Summary!$C124)</f>
        <v>9203</v>
      </c>
      <c r="L124" s="183">
        <f ca="1">SUMIFS(OFFSET('BPC Data'!$F:$F,0,Summary!L$2),'BPC Data'!$E:$E,Summary!$D124,'BPC Data'!$B:$B,Summary!$C124)</f>
        <v>6000</v>
      </c>
      <c r="M124" s="19">
        <f ca="1">SUMIFS(OFFSET('BPC Data'!$F:$F,0,Summary!M$2),'BPC Data'!$E:$E,Summary!$D124,'BPC Data'!$B:$B,Summary!$C124)</f>
        <v>0</v>
      </c>
      <c r="N124" s="183">
        <f ca="1">SUMIFS(OFFSET('BPC Data'!$F:$F,0,Summary!N$2),'BPC Data'!$E:$E,Summary!$D124,'BPC Data'!$B:$B,Summary!$C124)</f>
        <v>0</v>
      </c>
      <c r="O124" s="19">
        <f ca="1">SUMIFS(OFFSET('BPC Data'!$F:$F,0,Summary!O$2),'BPC Data'!$E:$E,Summary!$D124,'BPC Data'!$B:$B,Summary!$C124)</f>
        <v>0</v>
      </c>
      <c r="P124" s="183">
        <f ca="1">SUMIFS(OFFSET('BPC Data'!$F:$F,0,Summary!P$2),'BPC Data'!$E:$E,Summary!$D124,'BPC Data'!$B:$B,Summary!$C124)</f>
        <v>0</v>
      </c>
      <c r="Q124" s="19">
        <f ca="1">SUMIFS(OFFSET('BPC Data'!$F:$F,0,Summary!Q$2),'BPC Data'!$E:$E,Summary!$D124,'BPC Data'!$B:$B,Summary!$C124)</f>
        <v>0</v>
      </c>
      <c r="R124" s="183">
        <f ca="1">SUMIFS(OFFSET('BPC Data'!$F:$F,0,Summary!R$2),'BPC Data'!$E:$E,Summary!$D124,'BPC Data'!$B:$B,Summary!$C124)</f>
        <v>0</v>
      </c>
      <c r="S124" s="187">
        <f t="shared" ca="1" si="40"/>
        <v>49243</v>
      </c>
      <c r="T124" s="181"/>
    </row>
    <row r="125" spans="1:20" s="17" customFormat="1" x14ac:dyDescent="0.25">
      <c r="A125" s="17">
        <f t="shared" si="54"/>
        <v>11</v>
      </c>
      <c r="B125"/>
      <c r="C125" t="str">
        <f>$F119</f>
        <v>SHC at Parkwood</v>
      </c>
      <c r="D125" s="2" t="str">
        <f t="shared" si="44"/>
        <v>T_EBITDARM - EBITDARM</v>
      </c>
      <c r="E125"/>
      <c r="F125" s="24" t="str">
        <f>_xll.EVDES(D125)</f>
        <v>EBITDARM</v>
      </c>
      <c r="G125" s="19">
        <f ca="1">SUMIFS(OFFSET('BPC Data'!$F:$F,0,Summary!G$2),'BPC Data'!$E:$E,Summary!$D125,'BPC Data'!$B:$B,Summary!$C125)</f>
        <v>239858</v>
      </c>
      <c r="H125" s="183">
        <f ca="1">SUMIFS(OFFSET('BPC Data'!$F:$F,0,Summary!H$2),'BPC Data'!$E:$E,Summary!$D125,'BPC Data'!$B:$B,Summary!$C125)</f>
        <v>325620</v>
      </c>
      <c r="I125" s="19">
        <f ca="1">SUMIFS(OFFSET('BPC Data'!$F:$F,0,Summary!I$2),'BPC Data'!$E:$E,Summary!$D125,'BPC Data'!$B:$B,Summary!$C125)</f>
        <v>265728</v>
      </c>
      <c r="J125" s="183">
        <f ca="1">SUMIFS(OFFSET('BPC Data'!$F:$F,0,Summary!J$2),'BPC Data'!$E:$E,Summary!$D125,'BPC Data'!$B:$B,Summary!$C125)</f>
        <v>-170378</v>
      </c>
      <c r="K125" s="19">
        <f ca="1">SUMIFS(OFFSET('BPC Data'!$F:$F,0,Summary!K$2),'BPC Data'!$E:$E,Summary!$D125,'BPC Data'!$B:$B,Summary!$C125)</f>
        <v>253543</v>
      </c>
      <c r="L125" s="183">
        <f ca="1">SUMIFS(OFFSET('BPC Data'!$F:$F,0,Summary!L$2),'BPC Data'!$E:$E,Summary!$D125,'BPC Data'!$B:$B,Summary!$C125)</f>
        <v>187091</v>
      </c>
      <c r="M125" s="19">
        <f ca="1">SUMIFS(OFFSET('BPC Data'!$F:$F,0,Summary!M$2),'BPC Data'!$E:$E,Summary!$D125,'BPC Data'!$B:$B,Summary!$C125)</f>
        <v>194027</v>
      </c>
      <c r="N125" s="183">
        <f ca="1">SUMIFS(OFFSET('BPC Data'!$F:$F,0,Summary!N$2),'BPC Data'!$E:$E,Summary!$D125,'BPC Data'!$B:$B,Summary!$C125)</f>
        <v>197737</v>
      </c>
      <c r="O125" s="19">
        <f ca="1">SUMIFS(OFFSET('BPC Data'!$F:$F,0,Summary!O$2),'BPC Data'!$E:$E,Summary!$D125,'BPC Data'!$B:$B,Summary!$C125)</f>
        <v>240384</v>
      </c>
      <c r="P125" s="183">
        <f ca="1">SUMIFS(OFFSET('BPC Data'!$F:$F,0,Summary!P$2),'BPC Data'!$E:$E,Summary!$D125,'BPC Data'!$B:$B,Summary!$C125)</f>
        <v>84768</v>
      </c>
      <c r="Q125" s="19">
        <f ca="1">SUMIFS(OFFSET('BPC Data'!$F:$F,0,Summary!Q$2),'BPC Data'!$E:$E,Summary!$D125,'BPC Data'!$B:$B,Summary!$C125)</f>
        <v>736</v>
      </c>
      <c r="R125" s="183">
        <f ca="1">SUMIFS(OFFSET('BPC Data'!$F:$F,0,Summary!R$2),'BPC Data'!$E:$E,Summary!$D125,'BPC Data'!$B:$B,Summary!$C125)</f>
        <v>45919</v>
      </c>
      <c r="S125" s="187">
        <f t="shared" ca="1" si="40"/>
        <v>1865033</v>
      </c>
      <c r="T125" s="181"/>
    </row>
    <row r="126" spans="1:20" s="17" customFormat="1" x14ac:dyDescent="0.25">
      <c r="A126" s="17">
        <f t="shared" si="54"/>
        <v>11</v>
      </c>
      <c r="B126"/>
      <c r="C126" t="str">
        <f>$F119</f>
        <v>SHC at Parkwood</v>
      </c>
      <c r="D126" s="2" t="str">
        <f t="shared" si="44"/>
        <v>T_MGMT_FEE - Tenant Management Fee - Actual</v>
      </c>
      <c r="E126"/>
      <c r="F126" s="24" t="str">
        <f>_xll.EVDES(D126)</f>
        <v>Tenant Management Fee - Actual</v>
      </c>
      <c r="G126" s="19">
        <f ca="1">SUMIFS(OFFSET('BPC Data'!$F:$F,0,Summary!G$2),'BPC Data'!$E:$E,Summary!$D126,'BPC Data'!$B:$B,Summary!$C126)</f>
        <v>38323</v>
      </c>
      <c r="H126" s="183">
        <f ca="1">SUMIFS(OFFSET('BPC Data'!$F:$F,0,Summary!H$2),'BPC Data'!$E:$E,Summary!$D126,'BPC Data'!$B:$B,Summary!$C126)</f>
        <v>43929</v>
      </c>
      <c r="I126" s="19">
        <f ca="1">SUMIFS(OFFSET('BPC Data'!$F:$F,0,Summary!I$2),'BPC Data'!$E:$E,Summary!$D126,'BPC Data'!$B:$B,Summary!$C126)</f>
        <v>44020</v>
      </c>
      <c r="J126" s="183">
        <f ca="1">SUMIFS(OFFSET('BPC Data'!$F:$F,0,Summary!J$2),'BPC Data'!$E:$E,Summary!$D126,'BPC Data'!$B:$B,Summary!$C126)</f>
        <v>21012</v>
      </c>
      <c r="K126" s="19">
        <f ca="1">SUMIFS(OFFSET('BPC Data'!$F:$F,0,Summary!K$2),'BPC Data'!$E:$E,Summary!$D126,'BPC Data'!$B:$B,Summary!$C126)</f>
        <v>39938</v>
      </c>
      <c r="L126" s="183">
        <f ca="1">SUMIFS(OFFSET('BPC Data'!$F:$F,0,Summary!L$2),'BPC Data'!$E:$E,Summary!$D126,'BPC Data'!$B:$B,Summary!$C126)</f>
        <v>34794</v>
      </c>
      <c r="M126" s="19">
        <f ca="1">SUMIFS(OFFSET('BPC Data'!$F:$F,0,Summary!M$2),'BPC Data'!$E:$E,Summary!$D126,'BPC Data'!$B:$B,Summary!$C126)</f>
        <v>37672</v>
      </c>
      <c r="N126" s="183">
        <f ca="1">SUMIFS(OFFSET('BPC Data'!$F:$F,0,Summary!N$2),'BPC Data'!$E:$E,Summary!$D126,'BPC Data'!$B:$B,Summary!$C126)</f>
        <v>36156</v>
      </c>
      <c r="O126" s="19">
        <f ca="1">SUMIFS(OFFSET('BPC Data'!$F:$F,0,Summary!O$2),'BPC Data'!$E:$E,Summary!$D126,'BPC Data'!$B:$B,Summary!$C126)</f>
        <v>38613</v>
      </c>
      <c r="P126" s="183">
        <f ca="1">SUMIFS(OFFSET('BPC Data'!$F:$F,0,Summary!P$2),'BPC Data'!$E:$E,Summary!$D126,'BPC Data'!$B:$B,Summary!$C126)</f>
        <v>36535</v>
      </c>
      <c r="Q126" s="19">
        <f ca="1">SUMIFS(OFFSET('BPC Data'!$F:$F,0,Summary!Q$2),'BPC Data'!$E:$E,Summary!$D126,'BPC Data'!$B:$B,Summary!$C126)</f>
        <v>34096</v>
      </c>
      <c r="R126" s="183">
        <f ca="1">SUMIFS(OFFSET('BPC Data'!$F:$F,0,Summary!R$2),'BPC Data'!$E:$E,Summary!$D126,'BPC Data'!$B:$B,Summary!$C126)</f>
        <v>37225</v>
      </c>
      <c r="S126" s="187">
        <f t="shared" ca="1" si="40"/>
        <v>442313</v>
      </c>
      <c r="T126" s="181"/>
    </row>
    <row r="127" spans="1:20" s="17" customFormat="1" x14ac:dyDescent="0.25">
      <c r="A127" s="17">
        <f t="shared" si="54"/>
        <v>11</v>
      </c>
      <c r="B127"/>
      <c r="C127" t="str">
        <f>$F119</f>
        <v>SHC at Parkwood</v>
      </c>
      <c r="D127" s="1" t="str">
        <f t="shared" si="44"/>
        <v>T_EBITDAR - EBITDAR</v>
      </c>
      <c r="E127"/>
      <c r="F127" s="24" t="str">
        <f>_xll.EVDES(D127)</f>
        <v>EBITDAR</v>
      </c>
      <c r="G127" s="19">
        <f ca="1">SUMIFS(OFFSET('BPC Data'!$F:$F,0,Summary!G$2),'BPC Data'!$E:$E,Summary!$D127,'BPC Data'!$B:$B,Summary!$C127)</f>
        <v>201535</v>
      </c>
      <c r="H127" s="183">
        <f ca="1">SUMIFS(OFFSET('BPC Data'!$F:$F,0,Summary!H$2),'BPC Data'!$E:$E,Summary!$D127,'BPC Data'!$B:$B,Summary!$C127)</f>
        <v>281691</v>
      </c>
      <c r="I127" s="19">
        <f ca="1">SUMIFS(OFFSET('BPC Data'!$F:$F,0,Summary!I$2),'BPC Data'!$E:$E,Summary!$D127,'BPC Data'!$B:$B,Summary!$C127)</f>
        <v>221708</v>
      </c>
      <c r="J127" s="183">
        <f ca="1">SUMIFS(OFFSET('BPC Data'!$F:$F,0,Summary!J$2),'BPC Data'!$E:$E,Summary!$D127,'BPC Data'!$B:$B,Summary!$C127)</f>
        <v>-191390</v>
      </c>
      <c r="K127" s="19">
        <f ca="1">SUMIFS(OFFSET('BPC Data'!$F:$F,0,Summary!K$2),'BPC Data'!$E:$E,Summary!$D127,'BPC Data'!$B:$B,Summary!$C127)</f>
        <v>213605</v>
      </c>
      <c r="L127" s="183">
        <f ca="1">SUMIFS(OFFSET('BPC Data'!$F:$F,0,Summary!L$2),'BPC Data'!$E:$E,Summary!$D127,'BPC Data'!$B:$B,Summary!$C127)</f>
        <v>152297</v>
      </c>
      <c r="M127" s="19">
        <f ca="1">SUMIFS(OFFSET('BPC Data'!$F:$F,0,Summary!M$2),'BPC Data'!$E:$E,Summary!$D127,'BPC Data'!$B:$B,Summary!$C127)</f>
        <v>156355</v>
      </c>
      <c r="N127" s="183">
        <f ca="1">SUMIFS(OFFSET('BPC Data'!$F:$F,0,Summary!N$2),'BPC Data'!$E:$E,Summary!$D127,'BPC Data'!$B:$B,Summary!$C127)</f>
        <v>161581</v>
      </c>
      <c r="O127" s="19">
        <f ca="1">SUMIFS(OFFSET('BPC Data'!$F:$F,0,Summary!O$2),'BPC Data'!$E:$E,Summary!$D127,'BPC Data'!$B:$B,Summary!$C127)</f>
        <v>201771</v>
      </c>
      <c r="P127" s="183">
        <f ca="1">SUMIFS(OFFSET('BPC Data'!$F:$F,0,Summary!P$2),'BPC Data'!$E:$E,Summary!$D127,'BPC Data'!$B:$B,Summary!$C127)</f>
        <v>48233</v>
      </c>
      <c r="Q127" s="19">
        <f ca="1">SUMIFS(OFFSET('BPC Data'!$F:$F,0,Summary!Q$2),'BPC Data'!$E:$E,Summary!$D127,'BPC Data'!$B:$B,Summary!$C127)</f>
        <v>-33360</v>
      </c>
      <c r="R127" s="183">
        <f ca="1">SUMIFS(OFFSET('BPC Data'!$F:$F,0,Summary!R$2),'BPC Data'!$E:$E,Summary!$D127,'BPC Data'!$B:$B,Summary!$C127)</f>
        <v>8694</v>
      </c>
      <c r="S127" s="187">
        <f t="shared" ca="1" si="40"/>
        <v>1422720</v>
      </c>
      <c r="T127" s="181"/>
    </row>
    <row r="128" spans="1:20" s="17" customFormat="1" x14ac:dyDescent="0.25">
      <c r="A128" s="17">
        <f t="shared" si="54"/>
        <v>11</v>
      </c>
      <c r="B128"/>
      <c r="C128" t="str">
        <f>$F119</f>
        <v>SHC at Parkwood</v>
      </c>
      <c r="D128" s="1" t="str">
        <f t="shared" si="44"/>
        <v>T_RENT_EXP - Tenant Rent Expense</v>
      </c>
      <c r="E128"/>
      <c r="F128" s="24" t="str">
        <f>_xll.EVDES(D128)</f>
        <v>Tenant Rent Expense</v>
      </c>
      <c r="G128" s="19">
        <f ca="1">SUMIFS(OFFSET('BPC Data'!$F:$F,0,Summary!G$2),'BPC Data'!$E:$E,Summary!$D128,'BPC Data'!$B:$B,Summary!$C128)</f>
        <v>212855</v>
      </c>
      <c r="H128" s="183">
        <f ca="1">SUMIFS(OFFSET('BPC Data'!$F:$F,0,Summary!H$2),'BPC Data'!$E:$E,Summary!$D128,'BPC Data'!$B:$B,Summary!$C128)</f>
        <v>212855</v>
      </c>
      <c r="I128" s="19">
        <f ca="1">SUMIFS(OFFSET('BPC Data'!$F:$F,0,Summary!I$2),'BPC Data'!$E:$E,Summary!$D128,'BPC Data'!$B:$B,Summary!$C128)</f>
        <v>212855</v>
      </c>
      <c r="J128" s="183">
        <f ca="1">SUMIFS(OFFSET('BPC Data'!$F:$F,0,Summary!J$2),'BPC Data'!$E:$E,Summary!$D128,'BPC Data'!$B:$B,Summary!$C128)</f>
        <v>218176</v>
      </c>
      <c r="K128" s="19">
        <f ca="1">SUMIFS(OFFSET('BPC Data'!$F:$F,0,Summary!K$2),'BPC Data'!$E:$E,Summary!$D128,'BPC Data'!$B:$B,Summary!$C128)</f>
        <v>218176</v>
      </c>
      <c r="L128" s="183">
        <f ca="1">SUMIFS(OFFSET('BPC Data'!$F:$F,0,Summary!L$2),'BPC Data'!$E:$E,Summary!$D128,'BPC Data'!$B:$B,Summary!$C128)</f>
        <v>218176</v>
      </c>
      <c r="M128" s="19">
        <f ca="1">SUMIFS(OFFSET('BPC Data'!$F:$F,0,Summary!M$2),'BPC Data'!$E:$E,Summary!$D128,'BPC Data'!$B:$B,Summary!$C128)</f>
        <v>218176</v>
      </c>
      <c r="N128" s="183">
        <f ca="1">SUMIFS(OFFSET('BPC Data'!$F:$F,0,Summary!N$2),'BPC Data'!$E:$E,Summary!$D128,'BPC Data'!$B:$B,Summary!$C128)</f>
        <v>218176</v>
      </c>
      <c r="O128" s="19">
        <f ca="1">SUMIFS(OFFSET('BPC Data'!$F:$F,0,Summary!O$2),'BPC Data'!$E:$E,Summary!$D128,'BPC Data'!$B:$B,Summary!$C128)</f>
        <v>218176</v>
      </c>
      <c r="P128" s="183">
        <f ca="1">SUMIFS(OFFSET('BPC Data'!$F:$F,0,Summary!P$2),'BPC Data'!$E:$E,Summary!$D128,'BPC Data'!$B:$B,Summary!$C128)</f>
        <v>218176</v>
      </c>
      <c r="Q128" s="19">
        <f ca="1">SUMIFS(OFFSET('BPC Data'!$F:$F,0,Summary!Q$2),'BPC Data'!$E:$E,Summary!$D128,'BPC Data'!$B:$B,Summary!$C128)</f>
        <v>218176</v>
      </c>
      <c r="R128" s="183">
        <f ca="1">SUMIFS(OFFSET('BPC Data'!$F:$F,0,Summary!R$2),'BPC Data'!$E:$E,Summary!$D128,'BPC Data'!$B:$B,Summary!$C128)</f>
        <v>218176</v>
      </c>
      <c r="S128" s="187">
        <f t="shared" ca="1" si="40"/>
        <v>2602149</v>
      </c>
      <c r="T128" s="181"/>
    </row>
    <row r="129" spans="1:20" s="17" customFormat="1" x14ac:dyDescent="0.25">
      <c r="A129" s="17">
        <f t="shared" si="54"/>
        <v>11</v>
      </c>
      <c r="B129"/>
      <c r="C129"/>
      <c r="D129" s="1" t="str">
        <f t="shared" si="44"/>
        <v>x</v>
      </c>
      <c r="E129"/>
      <c r="F129" s="24" t="s">
        <v>0</v>
      </c>
      <c r="G129" s="12">
        <f ca="1">G127/G128</f>
        <v>0.94681825655962981</v>
      </c>
      <c r="H129" s="184">
        <f t="shared" ref="H129:I129" ca="1" si="55">H127/H128</f>
        <v>1.3233938596697281</v>
      </c>
      <c r="I129" s="12">
        <f t="shared" ca="1" si="55"/>
        <v>1.0415916938761129</v>
      </c>
      <c r="J129" s="184">
        <f t="shared" ref="J129:R129" ca="1" si="56">J127/J128</f>
        <v>-0.87722755940158403</v>
      </c>
      <c r="K129" s="12">
        <f t="shared" ca="1" si="56"/>
        <v>0.97904902464065713</v>
      </c>
      <c r="L129" s="184">
        <f t="shared" ca="1" si="56"/>
        <v>0.69804653124083305</v>
      </c>
      <c r="M129" s="12">
        <f t="shared" ca="1" si="56"/>
        <v>0.71664619389850392</v>
      </c>
      <c r="N129" s="184">
        <f t="shared" ca="1" si="56"/>
        <v>0.74059933264887068</v>
      </c>
      <c r="O129" s="12">
        <f t="shared" ca="1" si="56"/>
        <v>0.92480841155764149</v>
      </c>
      <c r="P129" s="184">
        <f t="shared" ca="1" si="56"/>
        <v>0.22107381196831916</v>
      </c>
      <c r="Q129" s="12">
        <f t="shared" ca="1" si="56"/>
        <v>-0.15290407744206513</v>
      </c>
      <c r="R129" s="184">
        <f t="shared" ca="1" si="56"/>
        <v>3.9848562628336755E-2</v>
      </c>
      <c r="S129" s="187">
        <f t="shared" ca="1" si="40"/>
        <v>6.6017440418449853</v>
      </c>
      <c r="T129" s="181"/>
    </row>
    <row r="130" spans="1:20" s="17" customFormat="1" x14ac:dyDescent="0.25">
      <c r="A130" s="17">
        <f>IF(AND(D130&lt;&gt;"",C130=""),A129+1,A129)</f>
        <v>12</v>
      </c>
      <c r="B130" s="5"/>
      <c r="C130" s="5"/>
      <c r="D130" s="5" t="str">
        <f t="shared" si="44"/>
        <v>x</v>
      </c>
      <c r="E130" s="5"/>
      <c r="F130" s="23" t="str">
        <f>INDEX(PropertyList!$D:$D,MATCH(Summary!$A130,PropertyList!$C:$C,0))</f>
        <v>SHC at Tower Road</v>
      </c>
      <c r="G130" s="11"/>
      <c r="H130" s="182"/>
      <c r="I130" s="11"/>
      <c r="J130" s="182"/>
      <c r="K130" s="11"/>
      <c r="L130" s="182"/>
      <c r="M130" s="11"/>
      <c r="N130" s="182"/>
      <c r="O130" s="11"/>
      <c r="P130" s="182"/>
      <c r="Q130" s="11"/>
      <c r="R130" s="182"/>
      <c r="S130" s="187">
        <f t="shared" si="40"/>
        <v>0</v>
      </c>
      <c r="T130" s="181"/>
    </row>
    <row r="131" spans="1:20" s="17" customFormat="1" x14ac:dyDescent="0.25">
      <c r="A131" s="17">
        <f>IF(AND(F131&lt;&gt;"",D131=""),A130+1,A130)</f>
        <v>12</v>
      </c>
      <c r="C131" t="str">
        <f>$F130</f>
        <v>SHC at Tower Road</v>
      </c>
      <c r="D131" s="3" t="str">
        <f t="shared" si="44"/>
        <v>PAY_PAT_DAYS - Total Payor Patient Days</v>
      </c>
      <c r="F131" s="24" t="str">
        <f>_xll.EVDES(D131)</f>
        <v>Total Payor Patient Days</v>
      </c>
      <c r="G131" s="19">
        <f ca="1">SUMIFS(OFFSET('BPC Data'!$F:$F,0,Summary!G$2),'BPC Data'!$E:$E,Summary!$D131,'BPC Data'!$B:$B,Summary!$C131)</f>
        <v>2969</v>
      </c>
      <c r="H131" s="183">
        <f ca="1">SUMIFS(OFFSET('BPC Data'!$F:$F,0,Summary!H$2),'BPC Data'!$E:$E,Summary!$D131,'BPC Data'!$B:$B,Summary!$C131)</f>
        <v>3257</v>
      </c>
      <c r="I131" s="19">
        <f ca="1">SUMIFS(OFFSET('BPC Data'!$F:$F,0,Summary!I$2),'BPC Data'!$E:$E,Summary!$D131,'BPC Data'!$B:$B,Summary!$C131)</f>
        <v>3124</v>
      </c>
      <c r="J131" s="183">
        <f ca="1">SUMIFS(OFFSET('BPC Data'!$F:$F,0,Summary!J$2),'BPC Data'!$E:$E,Summary!$D131,'BPC Data'!$B:$B,Summary!$C131)</f>
        <v>3507</v>
      </c>
      <c r="K131" s="19">
        <f ca="1">SUMIFS(OFFSET('BPC Data'!$F:$F,0,Summary!K$2),'BPC Data'!$E:$E,Summary!$D131,'BPC Data'!$B:$B,Summary!$C131)</f>
        <v>3652</v>
      </c>
      <c r="L131" s="183">
        <f ca="1">SUMIFS(OFFSET('BPC Data'!$F:$F,0,Summary!L$2),'BPC Data'!$E:$E,Summary!$D131,'BPC Data'!$B:$B,Summary!$C131)</f>
        <v>3260</v>
      </c>
      <c r="M131" s="19">
        <f ca="1">SUMIFS(OFFSET('BPC Data'!$F:$F,0,Summary!M$2),'BPC Data'!$E:$E,Summary!$D131,'BPC Data'!$B:$B,Summary!$C131)</f>
        <v>3613</v>
      </c>
      <c r="N131" s="183">
        <f ca="1">SUMIFS(OFFSET('BPC Data'!$F:$F,0,Summary!N$2),'BPC Data'!$E:$E,Summary!$D131,'BPC Data'!$B:$B,Summary!$C131)</f>
        <v>3215</v>
      </c>
      <c r="O131" s="19">
        <f ca="1">SUMIFS(OFFSET('BPC Data'!$F:$F,0,Summary!O$2),'BPC Data'!$E:$E,Summary!$D131,'BPC Data'!$B:$B,Summary!$C131)</f>
        <v>3710</v>
      </c>
      <c r="P131" s="183">
        <f ca="1">SUMIFS(OFFSET('BPC Data'!$F:$F,0,Summary!P$2),'BPC Data'!$E:$E,Summary!$D131,'BPC Data'!$B:$B,Summary!$C131)</f>
        <v>3522</v>
      </c>
      <c r="Q131" s="19">
        <f ca="1">SUMIFS(OFFSET('BPC Data'!$F:$F,0,Summary!Q$2),'BPC Data'!$E:$E,Summary!$D131,'BPC Data'!$B:$B,Summary!$C131)</f>
        <v>3487</v>
      </c>
      <c r="R131" s="183">
        <f ca="1">SUMIFS(OFFSET('BPC Data'!$F:$F,0,Summary!R$2),'BPC Data'!$E:$E,Summary!$D131,'BPC Data'!$B:$B,Summary!$C131)</f>
        <v>3556</v>
      </c>
      <c r="S131" s="187">
        <f t="shared" ca="1" si="40"/>
        <v>40872</v>
      </c>
      <c r="T131" s="181"/>
    </row>
    <row r="132" spans="1:20" s="17" customFormat="1" x14ac:dyDescent="0.25">
      <c r="A132" s="17">
        <f t="shared" ref="A132:A140" si="57">IF(AND(F132&lt;&gt;"",D132=""),A131+1,A131)</f>
        <v>12</v>
      </c>
      <c r="C132" t="str">
        <f>$F130</f>
        <v>SHC at Tower Road</v>
      </c>
      <c r="D132" s="3" t="str">
        <f t="shared" si="44"/>
        <v>A_BEDS_TOTAL - Total Available Beds</v>
      </c>
      <c r="F132" s="24" t="str">
        <f>_xll.EVDES(D132)</f>
        <v>Total Available Beds</v>
      </c>
      <c r="G132" s="19">
        <f ca="1">SUMIFS(OFFSET('BPC Data'!$F:$F,0,Summary!G$2),'BPC Data'!$E:$E,Summary!$D132,'BPC Data'!$B:$B,Summary!$C132)</f>
        <v>125</v>
      </c>
      <c r="H132" s="183">
        <f ca="1">SUMIFS(OFFSET('BPC Data'!$F:$F,0,Summary!H$2),'BPC Data'!$E:$E,Summary!$D132,'BPC Data'!$B:$B,Summary!$C132)</f>
        <v>125</v>
      </c>
      <c r="I132" s="19">
        <f ca="1">SUMIFS(OFFSET('BPC Data'!$F:$F,0,Summary!I$2),'BPC Data'!$E:$E,Summary!$D132,'BPC Data'!$B:$B,Summary!$C132)</f>
        <v>125</v>
      </c>
      <c r="J132" s="183">
        <f ca="1">SUMIFS(OFFSET('BPC Data'!$F:$F,0,Summary!J$2),'BPC Data'!$E:$E,Summary!$D132,'BPC Data'!$B:$B,Summary!$C132)</f>
        <v>125</v>
      </c>
      <c r="K132" s="19">
        <f ca="1">SUMIFS(OFFSET('BPC Data'!$F:$F,0,Summary!K$2),'BPC Data'!$E:$E,Summary!$D132,'BPC Data'!$B:$B,Summary!$C132)</f>
        <v>125</v>
      </c>
      <c r="L132" s="183">
        <f ca="1">SUMIFS(OFFSET('BPC Data'!$F:$F,0,Summary!L$2),'BPC Data'!$E:$E,Summary!$D132,'BPC Data'!$B:$B,Summary!$C132)</f>
        <v>125</v>
      </c>
      <c r="M132" s="19">
        <f ca="1">SUMIFS(OFFSET('BPC Data'!$F:$F,0,Summary!M$2),'BPC Data'!$E:$E,Summary!$D132,'BPC Data'!$B:$B,Summary!$C132)</f>
        <v>125</v>
      </c>
      <c r="N132" s="183">
        <f ca="1">SUMIFS(OFFSET('BPC Data'!$F:$F,0,Summary!N$2),'BPC Data'!$E:$E,Summary!$D132,'BPC Data'!$B:$B,Summary!$C132)</f>
        <v>125</v>
      </c>
      <c r="O132" s="19">
        <f ca="1">SUMIFS(OFFSET('BPC Data'!$F:$F,0,Summary!O$2),'BPC Data'!$E:$E,Summary!$D132,'BPC Data'!$B:$B,Summary!$C132)</f>
        <v>125</v>
      </c>
      <c r="P132" s="183">
        <f ca="1">SUMIFS(OFFSET('BPC Data'!$F:$F,0,Summary!P$2),'BPC Data'!$E:$E,Summary!$D132,'BPC Data'!$B:$B,Summary!$C132)</f>
        <v>125</v>
      </c>
      <c r="Q132" s="19">
        <f ca="1">SUMIFS(OFFSET('BPC Data'!$F:$F,0,Summary!Q$2),'BPC Data'!$E:$E,Summary!$D132,'BPC Data'!$B:$B,Summary!$C132)</f>
        <v>125</v>
      </c>
      <c r="R132" s="183">
        <f ca="1">SUMIFS(OFFSET('BPC Data'!$F:$F,0,Summary!R$2),'BPC Data'!$E:$E,Summary!$D132,'BPC Data'!$B:$B,Summary!$C132)</f>
        <v>125</v>
      </c>
      <c r="S132" s="187">
        <f ca="1">R132</f>
        <v>125</v>
      </c>
      <c r="T132" s="181"/>
    </row>
    <row r="133" spans="1:20" s="17" customFormat="1" x14ac:dyDescent="0.25">
      <c r="A133" s="17">
        <f t="shared" si="57"/>
        <v>12</v>
      </c>
      <c r="B133"/>
      <c r="C133" t="str">
        <f>$F130</f>
        <v>SHC at Tower Road</v>
      </c>
      <c r="D133" s="3" t="str">
        <f t="shared" si="44"/>
        <v>T_REVENUES - Total Tenant Revenues</v>
      </c>
      <c r="E133"/>
      <c r="F133" s="24" t="str">
        <f>_xll.EVDES(D133)</f>
        <v>Total Tenant Revenues</v>
      </c>
      <c r="G133" s="19">
        <f ca="1">SUMIFS(OFFSET('BPC Data'!$F:$F,0,Summary!G$2),'BPC Data'!$E:$E,Summary!$D133,'BPC Data'!$B:$B,Summary!$C133)</f>
        <v>1187694</v>
      </c>
      <c r="H133" s="183">
        <f ca="1">SUMIFS(OFFSET('BPC Data'!$F:$F,0,Summary!H$2),'BPC Data'!$E:$E,Summary!$D133,'BPC Data'!$B:$B,Summary!$C133)</f>
        <v>1216384</v>
      </c>
      <c r="I133" s="19">
        <f ca="1">SUMIFS(OFFSET('BPC Data'!$F:$F,0,Summary!I$2),'BPC Data'!$E:$E,Summary!$D133,'BPC Data'!$B:$B,Summary!$C133)</f>
        <v>1204223</v>
      </c>
      <c r="J133" s="183">
        <f ca="1">SUMIFS(OFFSET('BPC Data'!$F:$F,0,Summary!J$2),'BPC Data'!$E:$E,Summary!$D133,'BPC Data'!$B:$B,Summary!$C133)</f>
        <v>1713005</v>
      </c>
      <c r="K133" s="19">
        <f ca="1">SUMIFS(OFFSET('BPC Data'!$F:$F,0,Summary!K$2),'BPC Data'!$E:$E,Summary!$D133,'BPC Data'!$B:$B,Summary!$C133)</f>
        <v>1413834</v>
      </c>
      <c r="L133" s="183">
        <f ca="1">SUMIFS(OFFSET('BPC Data'!$F:$F,0,Summary!L$2),'BPC Data'!$E:$E,Summary!$D133,'BPC Data'!$B:$B,Summary!$C133)</f>
        <v>1209500</v>
      </c>
      <c r="M133" s="19">
        <f ca="1">SUMIFS(OFFSET('BPC Data'!$F:$F,0,Summary!M$2),'BPC Data'!$E:$E,Summary!$D133,'BPC Data'!$B:$B,Summary!$C133)</f>
        <v>1466071</v>
      </c>
      <c r="N133" s="183">
        <f ca="1">SUMIFS(OFFSET('BPC Data'!$F:$F,0,Summary!N$2),'BPC Data'!$E:$E,Summary!$D133,'BPC Data'!$B:$B,Summary!$C133)</f>
        <v>1179645</v>
      </c>
      <c r="O133" s="19">
        <f ca="1">SUMIFS(OFFSET('BPC Data'!$F:$F,0,Summary!O$2),'BPC Data'!$E:$E,Summary!$D133,'BPC Data'!$B:$B,Summary!$C133)</f>
        <v>1339457</v>
      </c>
      <c r="P133" s="183">
        <f ca="1">SUMIFS(OFFSET('BPC Data'!$F:$F,0,Summary!P$2),'BPC Data'!$E:$E,Summary!$D133,'BPC Data'!$B:$B,Summary!$C133)</f>
        <v>1254072</v>
      </c>
      <c r="Q133" s="19">
        <f ca="1">SUMIFS(OFFSET('BPC Data'!$F:$F,0,Summary!Q$2),'BPC Data'!$E:$E,Summary!$D133,'BPC Data'!$B:$B,Summary!$C133)</f>
        <v>1200282</v>
      </c>
      <c r="R133" s="183">
        <f ca="1">SUMIFS(OFFSET('BPC Data'!$F:$F,0,Summary!R$2),'BPC Data'!$E:$E,Summary!$D133,'BPC Data'!$B:$B,Summary!$C133)</f>
        <v>1283139</v>
      </c>
      <c r="S133" s="187">
        <f t="shared" ca="1" si="40"/>
        <v>15667306</v>
      </c>
      <c r="T133" s="181"/>
    </row>
    <row r="134" spans="1:20" s="17" customFormat="1" x14ac:dyDescent="0.25">
      <c r="A134" s="17">
        <f t="shared" si="57"/>
        <v>12</v>
      </c>
      <c r="B134"/>
      <c r="C134" t="str">
        <f>$F130</f>
        <v>SHC at Tower Road</v>
      </c>
      <c r="D134" s="3" t="str">
        <f t="shared" si="44"/>
        <v>T_OPEX - Tenant Operating Expenses</v>
      </c>
      <c r="E134"/>
      <c r="F134" s="24" t="str">
        <f>_xll.EVDES(D134)</f>
        <v>Tenant Operating Expenses</v>
      </c>
      <c r="G134" s="19">
        <f ca="1">SUMIFS(OFFSET('BPC Data'!$F:$F,0,Summary!G$2),'BPC Data'!$E:$E,Summary!$D134,'BPC Data'!$B:$B,Summary!$C134)</f>
        <v>1130063</v>
      </c>
      <c r="H134" s="183">
        <f ca="1">SUMIFS(OFFSET('BPC Data'!$F:$F,0,Summary!H$2),'BPC Data'!$E:$E,Summary!$D134,'BPC Data'!$B:$B,Summary!$C134)</f>
        <v>1065882</v>
      </c>
      <c r="I134" s="19">
        <f ca="1">SUMIFS(OFFSET('BPC Data'!$F:$F,0,Summary!I$2),'BPC Data'!$E:$E,Summary!$D134,'BPC Data'!$B:$B,Summary!$C134)</f>
        <v>1080038</v>
      </c>
      <c r="J134" s="183">
        <f ca="1">SUMIFS(OFFSET('BPC Data'!$F:$F,0,Summary!J$2),'BPC Data'!$E:$E,Summary!$D134,'BPC Data'!$B:$B,Summary!$C134)</f>
        <v>1260793</v>
      </c>
      <c r="K134" s="19">
        <f ca="1">SUMIFS(OFFSET('BPC Data'!$F:$F,0,Summary!K$2),'BPC Data'!$E:$E,Summary!$D134,'BPC Data'!$B:$B,Summary!$C134)</f>
        <v>1104607</v>
      </c>
      <c r="L134" s="183">
        <f ca="1">SUMIFS(OFFSET('BPC Data'!$F:$F,0,Summary!L$2),'BPC Data'!$E:$E,Summary!$D134,'BPC Data'!$B:$B,Summary!$C134)</f>
        <v>1050873</v>
      </c>
      <c r="M134" s="19">
        <f ca="1">SUMIFS(OFFSET('BPC Data'!$F:$F,0,Summary!M$2),'BPC Data'!$E:$E,Summary!$D134,'BPC Data'!$B:$B,Summary!$C134)</f>
        <v>1011503</v>
      </c>
      <c r="N134" s="183">
        <f ca="1">SUMIFS(OFFSET('BPC Data'!$F:$F,0,Summary!N$2),'BPC Data'!$E:$E,Summary!$D134,'BPC Data'!$B:$B,Summary!$C134)</f>
        <v>886295</v>
      </c>
      <c r="O134" s="19">
        <f ca="1">SUMIFS(OFFSET('BPC Data'!$F:$F,0,Summary!O$2),'BPC Data'!$E:$E,Summary!$D134,'BPC Data'!$B:$B,Summary!$C134)</f>
        <v>948338</v>
      </c>
      <c r="P134" s="183">
        <f ca="1">SUMIFS(OFFSET('BPC Data'!$F:$F,0,Summary!P$2),'BPC Data'!$E:$E,Summary!$D134,'BPC Data'!$B:$B,Summary!$C134)</f>
        <v>978082</v>
      </c>
      <c r="Q134" s="19">
        <f ca="1">SUMIFS(OFFSET('BPC Data'!$F:$F,0,Summary!Q$2),'BPC Data'!$E:$E,Summary!$D134,'BPC Data'!$B:$B,Summary!$C134)</f>
        <v>943276</v>
      </c>
      <c r="R134" s="183">
        <f ca="1">SUMIFS(OFFSET('BPC Data'!$F:$F,0,Summary!R$2),'BPC Data'!$E:$E,Summary!$D134,'BPC Data'!$B:$B,Summary!$C134)</f>
        <v>970269</v>
      </c>
      <c r="S134" s="187">
        <f t="shared" ca="1" si="40"/>
        <v>12430019</v>
      </c>
      <c r="T134" s="181"/>
    </row>
    <row r="135" spans="1:20" s="17" customFormat="1" x14ac:dyDescent="0.25">
      <c r="A135" s="17">
        <f t="shared" si="57"/>
        <v>12</v>
      </c>
      <c r="B135"/>
      <c r="C135" t="str">
        <f>$F130</f>
        <v>SHC at Tower Road</v>
      </c>
      <c r="D135" s="3" t="str">
        <f t="shared" si="44"/>
        <v>T_BAD_DEBT - Tenant Bad Debt Expense</v>
      </c>
      <c r="E135"/>
      <c r="F135" s="24" t="str">
        <f>_xll.EVDES(D135)</f>
        <v>Tenant Bad Debt Expense</v>
      </c>
      <c r="G135" s="19">
        <f ca="1">SUMIFS(OFFSET('BPC Data'!$F:$F,0,Summary!G$2),'BPC Data'!$E:$E,Summary!$D135,'BPC Data'!$B:$B,Summary!$C135)</f>
        <v>96793</v>
      </c>
      <c r="H135" s="183">
        <f ca="1">SUMIFS(OFFSET('BPC Data'!$F:$F,0,Summary!H$2),'BPC Data'!$E:$E,Summary!$D135,'BPC Data'!$B:$B,Summary!$C135)</f>
        <v>65424</v>
      </c>
      <c r="I135" s="19">
        <f ca="1">SUMIFS(OFFSET('BPC Data'!$F:$F,0,Summary!I$2),'BPC Data'!$E:$E,Summary!$D135,'BPC Data'!$B:$B,Summary!$C135)</f>
        <v>66553</v>
      </c>
      <c r="J135" s="183">
        <f ca="1">SUMIFS(OFFSET('BPC Data'!$F:$F,0,Summary!J$2),'BPC Data'!$E:$E,Summary!$D135,'BPC Data'!$B:$B,Summary!$C135)</f>
        <v>34102</v>
      </c>
      <c r="K135" s="19">
        <f ca="1">SUMIFS(OFFSET('BPC Data'!$F:$F,0,Summary!K$2),'BPC Data'!$E:$E,Summary!$D135,'BPC Data'!$B:$B,Summary!$C135)</f>
        <v>34488</v>
      </c>
      <c r="L135" s="183">
        <f ca="1">SUMIFS(OFFSET('BPC Data'!$F:$F,0,Summary!L$2),'BPC Data'!$E:$E,Summary!$D135,'BPC Data'!$B:$B,Summary!$C135)</f>
        <v>34488</v>
      </c>
      <c r="M135" s="19">
        <f ca="1">SUMIFS(OFFSET('BPC Data'!$F:$F,0,Summary!M$2),'BPC Data'!$E:$E,Summary!$D135,'BPC Data'!$B:$B,Summary!$C135)</f>
        <v>0</v>
      </c>
      <c r="N135" s="183">
        <f ca="1">SUMIFS(OFFSET('BPC Data'!$F:$F,0,Summary!N$2),'BPC Data'!$E:$E,Summary!$D135,'BPC Data'!$B:$B,Summary!$C135)</f>
        <v>7312</v>
      </c>
      <c r="O135" s="19">
        <f ca="1">SUMIFS(OFFSET('BPC Data'!$F:$F,0,Summary!O$2),'BPC Data'!$E:$E,Summary!$D135,'BPC Data'!$B:$B,Summary!$C135)</f>
        <v>0</v>
      </c>
      <c r="P135" s="183">
        <f ca="1">SUMIFS(OFFSET('BPC Data'!$F:$F,0,Summary!P$2),'BPC Data'!$E:$E,Summary!$D135,'BPC Data'!$B:$B,Summary!$C135)</f>
        <v>30084</v>
      </c>
      <c r="Q135" s="19">
        <f ca="1">SUMIFS(OFFSET('BPC Data'!$F:$F,0,Summary!Q$2),'BPC Data'!$E:$E,Summary!$D135,'BPC Data'!$B:$B,Summary!$C135)</f>
        <v>5000</v>
      </c>
      <c r="R135" s="183">
        <f ca="1">SUMIFS(OFFSET('BPC Data'!$F:$F,0,Summary!R$2),'BPC Data'!$E:$E,Summary!$D135,'BPC Data'!$B:$B,Summary!$C135)</f>
        <v>5000</v>
      </c>
      <c r="S135" s="187">
        <f t="shared" ca="1" si="40"/>
        <v>379244</v>
      </c>
      <c r="T135" s="181"/>
    </row>
    <row r="136" spans="1:20" s="17" customFormat="1" x14ac:dyDescent="0.25">
      <c r="A136" s="17">
        <f t="shared" si="57"/>
        <v>12</v>
      </c>
      <c r="B136"/>
      <c r="C136" t="str">
        <f>$F130</f>
        <v>SHC at Tower Road</v>
      </c>
      <c r="D136" s="2" t="str">
        <f t="shared" si="44"/>
        <v>T_EBITDARM - EBITDARM</v>
      </c>
      <c r="E136"/>
      <c r="F136" s="24" t="str">
        <f>_xll.EVDES(D136)</f>
        <v>EBITDARM</v>
      </c>
      <c r="G136" s="19">
        <f ca="1">SUMIFS(OFFSET('BPC Data'!$F:$F,0,Summary!G$2),'BPC Data'!$E:$E,Summary!$D136,'BPC Data'!$B:$B,Summary!$C136)</f>
        <v>57631</v>
      </c>
      <c r="H136" s="183">
        <f ca="1">SUMIFS(OFFSET('BPC Data'!$F:$F,0,Summary!H$2),'BPC Data'!$E:$E,Summary!$D136,'BPC Data'!$B:$B,Summary!$C136)</f>
        <v>150502</v>
      </c>
      <c r="I136" s="19">
        <f ca="1">SUMIFS(OFFSET('BPC Data'!$F:$F,0,Summary!I$2),'BPC Data'!$E:$E,Summary!$D136,'BPC Data'!$B:$B,Summary!$C136)</f>
        <v>124185</v>
      </c>
      <c r="J136" s="183">
        <f ca="1">SUMIFS(OFFSET('BPC Data'!$F:$F,0,Summary!J$2),'BPC Data'!$E:$E,Summary!$D136,'BPC Data'!$B:$B,Summary!$C136)</f>
        <v>452212</v>
      </c>
      <c r="K136" s="19">
        <f ca="1">SUMIFS(OFFSET('BPC Data'!$F:$F,0,Summary!K$2),'BPC Data'!$E:$E,Summary!$D136,'BPC Data'!$B:$B,Summary!$C136)</f>
        <v>309227</v>
      </c>
      <c r="L136" s="183">
        <f ca="1">SUMIFS(OFFSET('BPC Data'!$F:$F,0,Summary!L$2),'BPC Data'!$E:$E,Summary!$D136,'BPC Data'!$B:$B,Summary!$C136)</f>
        <v>158627</v>
      </c>
      <c r="M136" s="19">
        <f ca="1">SUMIFS(OFFSET('BPC Data'!$F:$F,0,Summary!M$2),'BPC Data'!$E:$E,Summary!$D136,'BPC Data'!$B:$B,Summary!$C136)</f>
        <v>454568</v>
      </c>
      <c r="N136" s="183">
        <f ca="1">SUMIFS(OFFSET('BPC Data'!$F:$F,0,Summary!N$2),'BPC Data'!$E:$E,Summary!$D136,'BPC Data'!$B:$B,Summary!$C136)</f>
        <v>293350</v>
      </c>
      <c r="O136" s="19">
        <f ca="1">SUMIFS(OFFSET('BPC Data'!$F:$F,0,Summary!O$2),'BPC Data'!$E:$E,Summary!$D136,'BPC Data'!$B:$B,Summary!$C136)</f>
        <v>391119</v>
      </c>
      <c r="P136" s="183">
        <f ca="1">SUMIFS(OFFSET('BPC Data'!$F:$F,0,Summary!P$2),'BPC Data'!$E:$E,Summary!$D136,'BPC Data'!$B:$B,Summary!$C136)</f>
        <v>275990</v>
      </c>
      <c r="Q136" s="19">
        <f ca="1">SUMIFS(OFFSET('BPC Data'!$F:$F,0,Summary!Q$2),'BPC Data'!$E:$E,Summary!$D136,'BPC Data'!$B:$B,Summary!$C136)</f>
        <v>257006</v>
      </c>
      <c r="R136" s="183">
        <f ca="1">SUMIFS(OFFSET('BPC Data'!$F:$F,0,Summary!R$2),'BPC Data'!$E:$E,Summary!$D136,'BPC Data'!$B:$B,Summary!$C136)</f>
        <v>312870</v>
      </c>
      <c r="S136" s="187">
        <f t="shared" ca="1" si="40"/>
        <v>3237287</v>
      </c>
      <c r="T136" s="181"/>
    </row>
    <row r="137" spans="1:20" s="17" customFormat="1" x14ac:dyDescent="0.25">
      <c r="A137" s="17">
        <f t="shared" si="57"/>
        <v>12</v>
      </c>
      <c r="B137"/>
      <c r="C137" t="str">
        <f>$F130</f>
        <v>SHC at Tower Road</v>
      </c>
      <c r="D137" s="2" t="str">
        <f t="shared" si="44"/>
        <v>T_MGMT_FEE - Tenant Management Fee - Actual</v>
      </c>
      <c r="E137"/>
      <c r="F137" s="24" t="str">
        <f>_xll.EVDES(D137)</f>
        <v>Tenant Management Fee - Actual</v>
      </c>
      <c r="G137" s="19">
        <f ca="1">SUMIFS(OFFSET('BPC Data'!$F:$F,0,Summary!G$2),'BPC Data'!$E:$E,Summary!$D137,'BPC Data'!$B:$B,Summary!$C137)</f>
        <v>59663</v>
      </c>
      <c r="H137" s="183">
        <f ca="1">SUMIFS(OFFSET('BPC Data'!$F:$F,0,Summary!H$2),'BPC Data'!$E:$E,Summary!$D137,'BPC Data'!$B:$B,Summary!$C137)</f>
        <v>61427</v>
      </c>
      <c r="I137" s="19">
        <f ca="1">SUMIFS(OFFSET('BPC Data'!$F:$F,0,Summary!I$2),'BPC Data'!$E:$E,Summary!$D137,'BPC Data'!$B:$B,Summary!$C137)</f>
        <v>60813</v>
      </c>
      <c r="J137" s="183">
        <f ca="1">SUMIFS(OFFSET('BPC Data'!$F:$F,0,Summary!J$2),'BPC Data'!$E:$E,Summary!$D137,'BPC Data'!$B:$B,Summary!$C137)</f>
        <v>86770</v>
      </c>
      <c r="K137" s="19">
        <f ca="1">SUMIFS(OFFSET('BPC Data'!$F:$F,0,Summary!K$2),'BPC Data'!$E:$E,Summary!$D137,'BPC Data'!$B:$B,Summary!$C137)</f>
        <v>71399</v>
      </c>
      <c r="L137" s="183">
        <f ca="1">SUMIFS(OFFSET('BPC Data'!$F:$F,0,Summary!L$2),'BPC Data'!$E:$E,Summary!$D137,'BPC Data'!$B:$B,Summary!$C137)</f>
        <v>61080</v>
      </c>
      <c r="M137" s="19">
        <f ca="1">SUMIFS(OFFSET('BPC Data'!$F:$F,0,Summary!M$2),'BPC Data'!$E:$E,Summary!$D137,'BPC Data'!$B:$B,Summary!$C137)</f>
        <v>74037</v>
      </c>
      <c r="N137" s="183">
        <f ca="1">SUMIFS(OFFSET('BPC Data'!$F:$F,0,Summary!N$2),'BPC Data'!$E:$E,Summary!$D137,'BPC Data'!$B:$B,Summary!$C137)</f>
        <v>59572</v>
      </c>
      <c r="O137" s="19">
        <f ca="1">SUMIFS(OFFSET('BPC Data'!$F:$F,0,Summary!O$2),'BPC Data'!$E:$E,Summary!$D137,'BPC Data'!$B:$B,Summary!$C137)</f>
        <v>67643</v>
      </c>
      <c r="P137" s="183">
        <f ca="1">SUMIFS(OFFSET('BPC Data'!$F:$F,0,Summary!P$2),'BPC Data'!$E:$E,Summary!$D137,'BPC Data'!$B:$B,Summary!$C137)</f>
        <v>63331</v>
      </c>
      <c r="Q137" s="19">
        <f ca="1">SUMIFS(OFFSET('BPC Data'!$F:$F,0,Summary!Q$2),'BPC Data'!$E:$E,Summary!$D137,'BPC Data'!$B:$B,Summary!$C137)</f>
        <v>60614</v>
      </c>
      <c r="R137" s="183">
        <f ca="1">SUMIFS(OFFSET('BPC Data'!$F:$F,0,Summary!R$2),'BPC Data'!$E:$E,Summary!$D137,'BPC Data'!$B:$B,Summary!$C137)</f>
        <v>64799</v>
      </c>
      <c r="S137" s="187">
        <f t="shared" ca="1" si="40"/>
        <v>791148</v>
      </c>
      <c r="T137" s="181"/>
    </row>
    <row r="138" spans="1:20" s="17" customFormat="1" x14ac:dyDescent="0.25">
      <c r="A138" s="17">
        <f t="shared" si="57"/>
        <v>12</v>
      </c>
      <c r="B138"/>
      <c r="C138" t="str">
        <f>$F130</f>
        <v>SHC at Tower Road</v>
      </c>
      <c r="D138" s="1" t="str">
        <f t="shared" si="44"/>
        <v>T_EBITDAR - EBITDAR</v>
      </c>
      <c r="E138"/>
      <c r="F138" s="24" t="str">
        <f>_xll.EVDES(D138)</f>
        <v>EBITDAR</v>
      </c>
      <c r="G138" s="19">
        <f ca="1">SUMIFS(OFFSET('BPC Data'!$F:$F,0,Summary!G$2),'BPC Data'!$E:$E,Summary!$D138,'BPC Data'!$B:$B,Summary!$C138)</f>
        <v>-2032</v>
      </c>
      <c r="H138" s="183">
        <f ca="1">SUMIFS(OFFSET('BPC Data'!$F:$F,0,Summary!H$2),'BPC Data'!$E:$E,Summary!$D138,'BPC Data'!$B:$B,Summary!$C138)</f>
        <v>89075</v>
      </c>
      <c r="I138" s="19">
        <f ca="1">SUMIFS(OFFSET('BPC Data'!$F:$F,0,Summary!I$2),'BPC Data'!$E:$E,Summary!$D138,'BPC Data'!$B:$B,Summary!$C138)</f>
        <v>63372</v>
      </c>
      <c r="J138" s="183">
        <f ca="1">SUMIFS(OFFSET('BPC Data'!$F:$F,0,Summary!J$2),'BPC Data'!$E:$E,Summary!$D138,'BPC Data'!$B:$B,Summary!$C138)</f>
        <v>365442</v>
      </c>
      <c r="K138" s="19">
        <f ca="1">SUMIFS(OFFSET('BPC Data'!$F:$F,0,Summary!K$2),'BPC Data'!$E:$E,Summary!$D138,'BPC Data'!$B:$B,Summary!$C138)</f>
        <v>237828</v>
      </c>
      <c r="L138" s="183">
        <f ca="1">SUMIFS(OFFSET('BPC Data'!$F:$F,0,Summary!L$2),'BPC Data'!$E:$E,Summary!$D138,'BPC Data'!$B:$B,Summary!$C138)</f>
        <v>97547</v>
      </c>
      <c r="M138" s="19">
        <f ca="1">SUMIFS(OFFSET('BPC Data'!$F:$F,0,Summary!M$2),'BPC Data'!$E:$E,Summary!$D138,'BPC Data'!$B:$B,Summary!$C138)</f>
        <v>380531</v>
      </c>
      <c r="N138" s="183">
        <f ca="1">SUMIFS(OFFSET('BPC Data'!$F:$F,0,Summary!N$2),'BPC Data'!$E:$E,Summary!$D138,'BPC Data'!$B:$B,Summary!$C138)</f>
        <v>233778</v>
      </c>
      <c r="O138" s="19">
        <f ca="1">SUMIFS(OFFSET('BPC Data'!$F:$F,0,Summary!O$2),'BPC Data'!$E:$E,Summary!$D138,'BPC Data'!$B:$B,Summary!$C138)</f>
        <v>323476</v>
      </c>
      <c r="P138" s="183">
        <f ca="1">SUMIFS(OFFSET('BPC Data'!$F:$F,0,Summary!P$2),'BPC Data'!$E:$E,Summary!$D138,'BPC Data'!$B:$B,Summary!$C138)</f>
        <v>212659</v>
      </c>
      <c r="Q138" s="19">
        <f ca="1">SUMIFS(OFFSET('BPC Data'!$F:$F,0,Summary!Q$2),'BPC Data'!$E:$E,Summary!$D138,'BPC Data'!$B:$B,Summary!$C138)</f>
        <v>196392</v>
      </c>
      <c r="R138" s="183">
        <f ca="1">SUMIFS(OFFSET('BPC Data'!$F:$F,0,Summary!R$2),'BPC Data'!$E:$E,Summary!$D138,'BPC Data'!$B:$B,Summary!$C138)</f>
        <v>248071</v>
      </c>
      <c r="S138" s="187">
        <f t="shared" ca="1" si="40"/>
        <v>2446139</v>
      </c>
      <c r="T138" s="181"/>
    </row>
    <row r="139" spans="1:20" s="17" customFormat="1" x14ac:dyDescent="0.25">
      <c r="A139" s="17">
        <f t="shared" si="57"/>
        <v>12</v>
      </c>
      <c r="B139"/>
      <c r="C139" t="str">
        <f>$F130</f>
        <v>SHC at Tower Road</v>
      </c>
      <c r="D139" s="1" t="str">
        <f t="shared" si="44"/>
        <v>T_RENT_EXP - Tenant Rent Expense</v>
      </c>
      <c r="E139"/>
      <c r="F139" s="24" t="str">
        <f>_xll.EVDES(D139)</f>
        <v>Tenant Rent Expense</v>
      </c>
      <c r="G139" s="19">
        <f ca="1">SUMIFS(OFFSET('BPC Data'!$F:$F,0,Summary!G$2),'BPC Data'!$E:$E,Summary!$D139,'BPC Data'!$B:$B,Summary!$C139)</f>
        <v>202628</v>
      </c>
      <c r="H139" s="183">
        <f ca="1">SUMIFS(OFFSET('BPC Data'!$F:$F,0,Summary!H$2),'BPC Data'!$E:$E,Summary!$D139,'BPC Data'!$B:$B,Summary!$C139)</f>
        <v>202628</v>
      </c>
      <c r="I139" s="19">
        <f ca="1">SUMIFS(OFFSET('BPC Data'!$F:$F,0,Summary!I$2),'BPC Data'!$E:$E,Summary!$D139,'BPC Data'!$B:$B,Summary!$C139)</f>
        <v>202628</v>
      </c>
      <c r="J139" s="183">
        <f ca="1">SUMIFS(OFFSET('BPC Data'!$F:$F,0,Summary!J$2),'BPC Data'!$E:$E,Summary!$D139,'BPC Data'!$B:$B,Summary!$C139)</f>
        <v>207694</v>
      </c>
      <c r="K139" s="19">
        <f ca="1">SUMIFS(OFFSET('BPC Data'!$F:$F,0,Summary!K$2),'BPC Data'!$E:$E,Summary!$D139,'BPC Data'!$B:$B,Summary!$C139)</f>
        <v>207694</v>
      </c>
      <c r="L139" s="183">
        <f ca="1">SUMIFS(OFFSET('BPC Data'!$F:$F,0,Summary!L$2),'BPC Data'!$E:$E,Summary!$D139,'BPC Data'!$B:$B,Summary!$C139)</f>
        <v>207694</v>
      </c>
      <c r="M139" s="19">
        <f ca="1">SUMIFS(OFFSET('BPC Data'!$F:$F,0,Summary!M$2),'BPC Data'!$E:$E,Summary!$D139,'BPC Data'!$B:$B,Summary!$C139)</f>
        <v>207694</v>
      </c>
      <c r="N139" s="183">
        <f ca="1">SUMIFS(OFFSET('BPC Data'!$F:$F,0,Summary!N$2),'BPC Data'!$E:$E,Summary!$D139,'BPC Data'!$B:$B,Summary!$C139)</f>
        <v>207694</v>
      </c>
      <c r="O139" s="19">
        <f ca="1">SUMIFS(OFFSET('BPC Data'!$F:$F,0,Summary!O$2),'BPC Data'!$E:$E,Summary!$D139,'BPC Data'!$B:$B,Summary!$C139)</f>
        <v>207694</v>
      </c>
      <c r="P139" s="183">
        <f ca="1">SUMIFS(OFFSET('BPC Data'!$F:$F,0,Summary!P$2),'BPC Data'!$E:$E,Summary!$D139,'BPC Data'!$B:$B,Summary!$C139)</f>
        <v>207694</v>
      </c>
      <c r="Q139" s="19">
        <f ca="1">SUMIFS(OFFSET('BPC Data'!$F:$F,0,Summary!Q$2),'BPC Data'!$E:$E,Summary!$D139,'BPC Data'!$B:$B,Summary!$C139)</f>
        <v>207694</v>
      </c>
      <c r="R139" s="183">
        <f ca="1">SUMIFS(OFFSET('BPC Data'!$F:$F,0,Summary!R$2),'BPC Data'!$E:$E,Summary!$D139,'BPC Data'!$B:$B,Summary!$C139)</f>
        <v>207694</v>
      </c>
      <c r="S139" s="187">
        <f t="shared" ref="S139:S202" ca="1" si="58">SUM(G139:R139)</f>
        <v>2477130</v>
      </c>
      <c r="T139" s="181"/>
    </row>
    <row r="140" spans="1:20" s="17" customFormat="1" x14ac:dyDescent="0.25">
      <c r="A140" s="17">
        <f t="shared" si="57"/>
        <v>12</v>
      </c>
      <c r="B140"/>
      <c r="C140"/>
      <c r="D140" s="1" t="str">
        <f t="shared" si="44"/>
        <v>x</v>
      </c>
      <c r="E140"/>
      <c r="F140" s="24" t="s">
        <v>0</v>
      </c>
      <c r="G140" s="12">
        <f ca="1">G138/G139</f>
        <v>-1.0028229070019937E-2</v>
      </c>
      <c r="H140" s="184">
        <f t="shared" ref="H140:I140" ca="1" si="59">H138/H139</f>
        <v>0.43959867343111514</v>
      </c>
      <c r="I140" s="12">
        <f t="shared" ca="1" si="59"/>
        <v>0.31275045896914544</v>
      </c>
      <c r="J140" s="184">
        <f t="shared" ref="J140:R140" ca="1" si="60">J138/J139</f>
        <v>1.7595212187159956</v>
      </c>
      <c r="K140" s="12">
        <f t="shared" ca="1" si="60"/>
        <v>1.1450884474274654</v>
      </c>
      <c r="L140" s="184">
        <f t="shared" ca="1" si="60"/>
        <v>0.46966691382514664</v>
      </c>
      <c r="M140" s="12">
        <f t="shared" ca="1" si="60"/>
        <v>1.8321713674925613</v>
      </c>
      <c r="N140" s="184">
        <f t="shared" ca="1" si="60"/>
        <v>1.1255886063150597</v>
      </c>
      <c r="O140" s="12">
        <f t="shared" ca="1" si="60"/>
        <v>1.5574643465868057</v>
      </c>
      <c r="P140" s="184">
        <f t="shared" ca="1" si="60"/>
        <v>1.0239053607711344</v>
      </c>
      <c r="Q140" s="12">
        <f t="shared" ca="1" si="60"/>
        <v>0.94558340635742966</v>
      </c>
      <c r="R140" s="184">
        <f t="shared" ca="1" si="60"/>
        <v>1.1944061937273103</v>
      </c>
      <c r="S140" s="187">
        <f t="shared" ca="1" si="58"/>
        <v>11.79571676454915</v>
      </c>
      <c r="T140" s="181"/>
    </row>
    <row r="141" spans="1:20" s="17" customFormat="1" x14ac:dyDescent="0.25">
      <c r="A141" s="17">
        <f>IF(AND(D141&lt;&gt;"",C141=""),A140+1,A140)</f>
        <v>13</v>
      </c>
      <c r="B141" s="5"/>
      <c r="C141" s="5"/>
      <c r="D141" s="5" t="str">
        <f t="shared" si="44"/>
        <v>x</v>
      </c>
      <c r="E141" s="5"/>
      <c r="F141" s="23" t="str">
        <f>INDEX(PropertyList!$D:$D,MATCH(Summary!$A141,PropertyList!$C:$C,0))</f>
        <v>Danville Centre for Health and Rehabilitation</v>
      </c>
      <c r="G141" s="11"/>
      <c r="H141" s="182"/>
      <c r="I141" s="11"/>
      <c r="J141" s="182"/>
      <c r="K141" s="11"/>
      <c r="L141" s="182"/>
      <c r="M141" s="11"/>
      <c r="N141" s="182"/>
      <c r="O141" s="11"/>
      <c r="P141" s="182"/>
      <c r="Q141" s="11"/>
      <c r="R141" s="182"/>
      <c r="S141" s="187">
        <f t="shared" si="58"/>
        <v>0</v>
      </c>
      <c r="T141" s="181"/>
    </row>
    <row r="142" spans="1:20" s="17" customFormat="1" x14ac:dyDescent="0.25">
      <c r="A142" s="17">
        <f>IF(AND(F142&lt;&gt;"",D142=""),A141+1,A141)</f>
        <v>13</v>
      </c>
      <c r="C142" t="str">
        <f>$F141</f>
        <v>Danville Centre for Health and Rehabilitation</v>
      </c>
      <c r="D142" s="3" t="str">
        <f t="shared" si="44"/>
        <v>PAY_PAT_DAYS - Total Payor Patient Days</v>
      </c>
      <c r="F142" s="24" t="str">
        <f>_xll.EVDES(D142)</f>
        <v>Total Payor Patient Days</v>
      </c>
      <c r="G142" s="19">
        <f ca="1">SUMIFS(OFFSET('BPC Data'!$F:$F,0,Summary!G$2),'BPC Data'!$E:$E,Summary!$D142,'BPC Data'!$B:$B,Summary!$C142)</f>
        <v>2198</v>
      </c>
      <c r="H142" s="183">
        <f ca="1">SUMIFS(OFFSET('BPC Data'!$F:$F,0,Summary!H$2),'BPC Data'!$E:$E,Summary!$D142,'BPC Data'!$B:$B,Summary!$C142)</f>
        <v>2236</v>
      </c>
      <c r="I142" s="19">
        <f ca="1">SUMIFS(OFFSET('BPC Data'!$F:$F,0,Summary!I$2),'BPC Data'!$E:$E,Summary!$D142,'BPC Data'!$B:$B,Summary!$C142)</f>
        <v>2271</v>
      </c>
      <c r="J142" s="183">
        <f ca="1">SUMIFS(OFFSET('BPC Data'!$F:$F,0,Summary!J$2),'BPC Data'!$E:$E,Summary!$D142,'BPC Data'!$B:$B,Summary!$C142)</f>
        <v>2241</v>
      </c>
      <c r="K142" s="19">
        <f ca="1">SUMIFS(OFFSET('BPC Data'!$F:$F,0,Summary!K$2),'BPC Data'!$E:$E,Summary!$D142,'BPC Data'!$B:$B,Summary!$C142)</f>
        <v>2124</v>
      </c>
      <c r="L142" s="183">
        <f ca="1">SUMIFS(OFFSET('BPC Data'!$F:$F,0,Summary!L$2),'BPC Data'!$E:$E,Summary!$D142,'BPC Data'!$B:$B,Summary!$C142)</f>
        <v>2053</v>
      </c>
      <c r="M142" s="19">
        <f ca="1">SUMIFS(OFFSET('BPC Data'!$F:$F,0,Summary!M$2),'BPC Data'!$E:$E,Summary!$D142,'BPC Data'!$B:$B,Summary!$C142)</f>
        <v>2331</v>
      </c>
      <c r="N142" s="183">
        <f ca="1">SUMIFS(OFFSET('BPC Data'!$F:$F,0,Summary!N$2),'BPC Data'!$E:$E,Summary!$D142,'BPC Data'!$B:$B,Summary!$C142)</f>
        <v>2303</v>
      </c>
      <c r="O142" s="19">
        <f ca="1">SUMIFS(OFFSET('BPC Data'!$F:$F,0,Summary!O$2),'BPC Data'!$E:$E,Summary!$D142,'BPC Data'!$B:$B,Summary!$C142)</f>
        <v>2478</v>
      </c>
      <c r="P142" s="183">
        <f ca="1">SUMIFS(OFFSET('BPC Data'!$F:$F,0,Summary!P$2),'BPC Data'!$E:$E,Summary!$D142,'BPC Data'!$B:$B,Summary!$C142)</f>
        <v>2350</v>
      </c>
      <c r="Q142" s="19">
        <f ca="1">SUMIFS(OFFSET('BPC Data'!$F:$F,0,Summary!Q$2),'BPC Data'!$E:$E,Summary!$D142,'BPC Data'!$B:$B,Summary!$C142)</f>
        <v>2270</v>
      </c>
      <c r="R142" s="183">
        <f ca="1">SUMIFS(OFFSET('BPC Data'!$F:$F,0,Summary!R$2),'BPC Data'!$E:$E,Summary!$D142,'BPC Data'!$B:$B,Summary!$C142)</f>
        <v>2394</v>
      </c>
      <c r="S142" s="187">
        <f t="shared" ca="1" si="58"/>
        <v>27249</v>
      </c>
      <c r="T142" s="181"/>
    </row>
    <row r="143" spans="1:20" s="17" customFormat="1" x14ac:dyDescent="0.25">
      <c r="A143" s="17">
        <f t="shared" ref="A143:A151" si="61">IF(AND(F143&lt;&gt;"",D143=""),A142+1,A142)</f>
        <v>13</v>
      </c>
      <c r="C143" t="str">
        <f>$F141</f>
        <v>Danville Centre for Health and Rehabilitation</v>
      </c>
      <c r="D143" s="3" t="str">
        <f t="shared" si="44"/>
        <v>A_BEDS_TOTAL - Total Available Beds</v>
      </c>
      <c r="F143" s="24" t="str">
        <f>_xll.EVDES(D143)</f>
        <v>Total Available Beds</v>
      </c>
      <c r="G143" s="19">
        <f ca="1">SUMIFS(OFFSET('BPC Data'!$F:$F,0,Summary!G$2),'BPC Data'!$E:$E,Summary!$D143,'BPC Data'!$B:$B,Summary!$C143)</f>
        <v>106</v>
      </c>
      <c r="H143" s="183">
        <f ca="1">SUMIFS(OFFSET('BPC Data'!$F:$F,0,Summary!H$2),'BPC Data'!$E:$E,Summary!$D143,'BPC Data'!$B:$B,Summary!$C143)</f>
        <v>106</v>
      </c>
      <c r="I143" s="19">
        <f ca="1">SUMIFS(OFFSET('BPC Data'!$F:$F,0,Summary!I$2),'BPC Data'!$E:$E,Summary!$D143,'BPC Data'!$B:$B,Summary!$C143)</f>
        <v>106</v>
      </c>
      <c r="J143" s="183">
        <f ca="1">SUMIFS(OFFSET('BPC Data'!$F:$F,0,Summary!J$2),'BPC Data'!$E:$E,Summary!$D143,'BPC Data'!$B:$B,Summary!$C143)</f>
        <v>106</v>
      </c>
      <c r="K143" s="19">
        <f ca="1">SUMIFS(OFFSET('BPC Data'!$F:$F,0,Summary!K$2),'BPC Data'!$E:$E,Summary!$D143,'BPC Data'!$B:$B,Summary!$C143)</f>
        <v>106</v>
      </c>
      <c r="L143" s="183">
        <f ca="1">SUMIFS(OFFSET('BPC Data'!$F:$F,0,Summary!L$2),'BPC Data'!$E:$E,Summary!$D143,'BPC Data'!$B:$B,Summary!$C143)</f>
        <v>106</v>
      </c>
      <c r="M143" s="19">
        <f ca="1">SUMIFS(OFFSET('BPC Data'!$F:$F,0,Summary!M$2),'BPC Data'!$E:$E,Summary!$D143,'BPC Data'!$B:$B,Summary!$C143)</f>
        <v>106</v>
      </c>
      <c r="N143" s="183">
        <f ca="1">SUMIFS(OFFSET('BPC Data'!$F:$F,0,Summary!N$2),'BPC Data'!$E:$E,Summary!$D143,'BPC Data'!$B:$B,Summary!$C143)</f>
        <v>106</v>
      </c>
      <c r="O143" s="19">
        <f ca="1">SUMIFS(OFFSET('BPC Data'!$F:$F,0,Summary!O$2),'BPC Data'!$E:$E,Summary!$D143,'BPC Data'!$B:$B,Summary!$C143)</f>
        <v>106</v>
      </c>
      <c r="P143" s="183">
        <f ca="1">SUMIFS(OFFSET('BPC Data'!$F:$F,0,Summary!P$2),'BPC Data'!$E:$E,Summary!$D143,'BPC Data'!$B:$B,Summary!$C143)</f>
        <v>106</v>
      </c>
      <c r="Q143" s="19">
        <f ca="1">SUMIFS(OFFSET('BPC Data'!$F:$F,0,Summary!Q$2),'BPC Data'!$E:$E,Summary!$D143,'BPC Data'!$B:$B,Summary!$C143)</f>
        <v>106</v>
      </c>
      <c r="R143" s="183">
        <f ca="1">SUMIFS(OFFSET('BPC Data'!$F:$F,0,Summary!R$2),'BPC Data'!$E:$E,Summary!$D143,'BPC Data'!$B:$B,Summary!$C143)</f>
        <v>106</v>
      </c>
      <c r="S143" s="187">
        <f ca="1">R143</f>
        <v>106</v>
      </c>
      <c r="T143" s="181"/>
    </row>
    <row r="144" spans="1:20" s="17" customFormat="1" x14ac:dyDescent="0.25">
      <c r="A144" s="17">
        <f t="shared" si="61"/>
        <v>13</v>
      </c>
      <c r="B144"/>
      <c r="C144" t="str">
        <f>$F141</f>
        <v>Danville Centre for Health and Rehabilitation</v>
      </c>
      <c r="D144" s="3" t="str">
        <f t="shared" si="44"/>
        <v>T_REVENUES - Total Tenant Revenues</v>
      </c>
      <c r="E144"/>
      <c r="F144" s="24" t="str">
        <f>_xll.EVDES(D144)</f>
        <v>Total Tenant Revenues</v>
      </c>
      <c r="G144" s="19">
        <f ca="1">SUMIFS(OFFSET('BPC Data'!$F:$F,0,Summary!G$2),'BPC Data'!$E:$E,Summary!$D144,'BPC Data'!$B:$B,Summary!$C144)</f>
        <v>621964</v>
      </c>
      <c r="H144" s="183">
        <f ca="1">SUMIFS(OFFSET('BPC Data'!$F:$F,0,Summary!H$2),'BPC Data'!$E:$E,Summary!$D144,'BPC Data'!$B:$B,Summary!$C144)</f>
        <v>641652</v>
      </c>
      <c r="I144" s="19">
        <f ca="1">SUMIFS(OFFSET('BPC Data'!$F:$F,0,Summary!I$2),'BPC Data'!$E:$E,Summary!$D144,'BPC Data'!$B:$B,Summary!$C144)</f>
        <v>695701</v>
      </c>
      <c r="J144" s="183">
        <f ca="1">SUMIFS(OFFSET('BPC Data'!$F:$F,0,Summary!J$2),'BPC Data'!$E:$E,Summary!$D144,'BPC Data'!$B:$B,Summary!$C144)</f>
        <v>1219707</v>
      </c>
      <c r="K144" s="19">
        <f ca="1">SUMIFS(OFFSET('BPC Data'!$F:$F,0,Summary!K$2),'BPC Data'!$E:$E,Summary!$D144,'BPC Data'!$B:$B,Summary!$C144)</f>
        <v>639713</v>
      </c>
      <c r="L144" s="183">
        <f ca="1">SUMIFS(OFFSET('BPC Data'!$F:$F,0,Summary!L$2),'BPC Data'!$E:$E,Summary!$D144,'BPC Data'!$B:$B,Summary!$C144)</f>
        <v>531086</v>
      </c>
      <c r="M144" s="19">
        <f ca="1">SUMIFS(OFFSET('BPC Data'!$F:$F,0,Summary!M$2),'BPC Data'!$E:$E,Summary!$D144,'BPC Data'!$B:$B,Summary!$C144)</f>
        <v>751427</v>
      </c>
      <c r="N144" s="183">
        <f ca="1">SUMIFS(OFFSET('BPC Data'!$F:$F,0,Summary!N$2),'BPC Data'!$E:$E,Summary!$D144,'BPC Data'!$B:$B,Summary!$C144)</f>
        <v>644073</v>
      </c>
      <c r="O144" s="19">
        <f ca="1">SUMIFS(OFFSET('BPC Data'!$F:$F,0,Summary!O$2),'BPC Data'!$E:$E,Summary!$D144,'BPC Data'!$B:$B,Summary!$C144)</f>
        <v>654383</v>
      </c>
      <c r="P144" s="183">
        <f ca="1">SUMIFS(OFFSET('BPC Data'!$F:$F,0,Summary!P$2),'BPC Data'!$E:$E,Summary!$D144,'BPC Data'!$B:$B,Summary!$C144)</f>
        <v>616302</v>
      </c>
      <c r="Q144" s="19">
        <f ca="1">SUMIFS(OFFSET('BPC Data'!$F:$F,0,Summary!Q$2),'BPC Data'!$E:$E,Summary!$D144,'BPC Data'!$B:$B,Summary!$C144)</f>
        <v>597735</v>
      </c>
      <c r="R144" s="183">
        <f ca="1">SUMIFS(OFFSET('BPC Data'!$F:$F,0,Summary!R$2),'BPC Data'!$E:$E,Summary!$D144,'BPC Data'!$B:$B,Summary!$C144)</f>
        <v>659247</v>
      </c>
      <c r="S144" s="187">
        <f t="shared" ca="1" si="58"/>
        <v>8272990</v>
      </c>
      <c r="T144" s="181"/>
    </row>
    <row r="145" spans="1:20" s="17" customFormat="1" x14ac:dyDescent="0.25">
      <c r="A145" s="17">
        <f t="shared" si="61"/>
        <v>13</v>
      </c>
      <c r="B145"/>
      <c r="C145" t="str">
        <f>$F141</f>
        <v>Danville Centre for Health and Rehabilitation</v>
      </c>
      <c r="D145" s="3" t="str">
        <f t="shared" si="44"/>
        <v>T_OPEX - Tenant Operating Expenses</v>
      </c>
      <c r="E145"/>
      <c r="F145" s="24" t="str">
        <f>_xll.EVDES(D145)</f>
        <v>Tenant Operating Expenses</v>
      </c>
      <c r="G145" s="19">
        <f ca="1">SUMIFS(OFFSET('BPC Data'!$F:$F,0,Summary!G$2),'BPC Data'!$E:$E,Summary!$D145,'BPC Data'!$B:$B,Summary!$C145)</f>
        <v>714655</v>
      </c>
      <c r="H145" s="183">
        <f ca="1">SUMIFS(OFFSET('BPC Data'!$F:$F,0,Summary!H$2),'BPC Data'!$E:$E,Summary!$D145,'BPC Data'!$B:$B,Summary!$C145)</f>
        <v>670337</v>
      </c>
      <c r="I145" s="19">
        <f ca="1">SUMIFS(OFFSET('BPC Data'!$F:$F,0,Summary!I$2),'BPC Data'!$E:$E,Summary!$D145,'BPC Data'!$B:$B,Summary!$C145)</f>
        <v>721972</v>
      </c>
      <c r="J145" s="183">
        <f ca="1">SUMIFS(OFFSET('BPC Data'!$F:$F,0,Summary!J$2),'BPC Data'!$E:$E,Summary!$D145,'BPC Data'!$B:$B,Summary!$C145)</f>
        <v>720899</v>
      </c>
      <c r="K145" s="19">
        <f ca="1">SUMIFS(OFFSET('BPC Data'!$F:$F,0,Summary!K$2),'BPC Data'!$E:$E,Summary!$D145,'BPC Data'!$B:$B,Summary!$C145)</f>
        <v>756428</v>
      </c>
      <c r="L145" s="183">
        <f ca="1">SUMIFS(OFFSET('BPC Data'!$F:$F,0,Summary!L$2),'BPC Data'!$E:$E,Summary!$D145,'BPC Data'!$B:$B,Summary!$C145)</f>
        <v>609185</v>
      </c>
      <c r="M145" s="19">
        <f ca="1">SUMIFS(OFFSET('BPC Data'!$F:$F,0,Summary!M$2),'BPC Data'!$E:$E,Summary!$D145,'BPC Data'!$B:$B,Summary!$C145)</f>
        <v>600319</v>
      </c>
      <c r="N145" s="183">
        <f ca="1">SUMIFS(OFFSET('BPC Data'!$F:$F,0,Summary!N$2),'BPC Data'!$E:$E,Summary!$D145,'BPC Data'!$B:$B,Summary!$C145)</f>
        <v>597569</v>
      </c>
      <c r="O145" s="19">
        <f ca="1">SUMIFS(OFFSET('BPC Data'!$F:$F,0,Summary!O$2),'BPC Data'!$E:$E,Summary!$D145,'BPC Data'!$B:$B,Summary!$C145)</f>
        <v>601445</v>
      </c>
      <c r="P145" s="183">
        <f ca="1">SUMIFS(OFFSET('BPC Data'!$F:$F,0,Summary!P$2),'BPC Data'!$E:$E,Summary!$D145,'BPC Data'!$B:$B,Summary!$C145)</f>
        <v>600510</v>
      </c>
      <c r="Q145" s="19">
        <f ca="1">SUMIFS(OFFSET('BPC Data'!$F:$F,0,Summary!Q$2),'BPC Data'!$E:$E,Summary!$D145,'BPC Data'!$B:$B,Summary!$C145)</f>
        <v>643688</v>
      </c>
      <c r="R145" s="183">
        <f ca="1">SUMIFS(OFFSET('BPC Data'!$F:$F,0,Summary!R$2),'BPC Data'!$E:$E,Summary!$D145,'BPC Data'!$B:$B,Summary!$C145)</f>
        <v>640524</v>
      </c>
      <c r="S145" s="187">
        <f t="shared" ca="1" si="58"/>
        <v>7877531</v>
      </c>
      <c r="T145" s="181"/>
    </row>
    <row r="146" spans="1:20" s="17" customFormat="1" x14ac:dyDescent="0.25">
      <c r="A146" s="17">
        <f t="shared" si="61"/>
        <v>13</v>
      </c>
      <c r="B146"/>
      <c r="C146" t="str">
        <f>$F141</f>
        <v>Danville Centre for Health and Rehabilitation</v>
      </c>
      <c r="D146" s="3" t="str">
        <f t="shared" si="44"/>
        <v>T_BAD_DEBT - Tenant Bad Debt Expense</v>
      </c>
      <c r="E146"/>
      <c r="F146" s="24" t="str">
        <f>_xll.EVDES(D146)</f>
        <v>Tenant Bad Debt Expense</v>
      </c>
      <c r="G146" s="19">
        <f ca="1">SUMIFS(OFFSET('BPC Data'!$F:$F,0,Summary!G$2),'BPC Data'!$E:$E,Summary!$D146,'BPC Data'!$B:$B,Summary!$C146)</f>
        <v>49899</v>
      </c>
      <c r="H146" s="183">
        <f ca="1">SUMIFS(OFFSET('BPC Data'!$F:$F,0,Summary!H$2),'BPC Data'!$E:$E,Summary!$D146,'BPC Data'!$B:$B,Summary!$C146)</f>
        <v>20000</v>
      </c>
      <c r="I146" s="19">
        <f ca="1">SUMIFS(OFFSET('BPC Data'!$F:$F,0,Summary!I$2),'BPC Data'!$E:$E,Summary!$D146,'BPC Data'!$B:$B,Summary!$C146)</f>
        <v>15000</v>
      </c>
      <c r="J146" s="183">
        <f ca="1">SUMIFS(OFFSET('BPC Data'!$F:$F,0,Summary!J$2),'BPC Data'!$E:$E,Summary!$D146,'BPC Data'!$B:$B,Summary!$C146)</f>
        <v>11364</v>
      </c>
      <c r="K146" s="19">
        <f ca="1">SUMIFS(OFFSET('BPC Data'!$F:$F,0,Summary!K$2),'BPC Data'!$E:$E,Summary!$D146,'BPC Data'!$B:$B,Summary!$C146)</f>
        <v>20000</v>
      </c>
      <c r="L146" s="183">
        <f ca="1">SUMIFS(OFFSET('BPC Data'!$F:$F,0,Summary!L$2),'BPC Data'!$E:$E,Summary!$D146,'BPC Data'!$B:$B,Summary!$C146)</f>
        <v>20000</v>
      </c>
      <c r="M146" s="19">
        <f ca="1">SUMIFS(OFFSET('BPC Data'!$F:$F,0,Summary!M$2),'BPC Data'!$E:$E,Summary!$D146,'BPC Data'!$B:$B,Summary!$C146)</f>
        <v>111</v>
      </c>
      <c r="N146" s="183">
        <f ca="1">SUMIFS(OFFSET('BPC Data'!$F:$F,0,Summary!N$2),'BPC Data'!$E:$E,Summary!$D146,'BPC Data'!$B:$B,Summary!$C146)</f>
        <v>9704</v>
      </c>
      <c r="O146" s="19">
        <f ca="1">SUMIFS(OFFSET('BPC Data'!$F:$F,0,Summary!O$2),'BPC Data'!$E:$E,Summary!$D146,'BPC Data'!$B:$B,Summary!$C146)</f>
        <v>5000</v>
      </c>
      <c r="P146" s="183">
        <f ca="1">SUMIFS(OFFSET('BPC Data'!$F:$F,0,Summary!P$2),'BPC Data'!$E:$E,Summary!$D146,'BPC Data'!$B:$B,Summary!$C146)</f>
        <v>10000</v>
      </c>
      <c r="Q146" s="19">
        <f ca="1">SUMIFS(OFFSET('BPC Data'!$F:$F,0,Summary!Q$2),'BPC Data'!$E:$E,Summary!$D146,'BPC Data'!$B:$B,Summary!$C146)</f>
        <v>20000</v>
      </c>
      <c r="R146" s="183">
        <f ca="1">SUMIFS(OFFSET('BPC Data'!$F:$F,0,Summary!R$2),'BPC Data'!$E:$E,Summary!$D146,'BPC Data'!$B:$B,Summary!$C146)</f>
        <v>15000</v>
      </c>
      <c r="S146" s="187">
        <f t="shared" ca="1" si="58"/>
        <v>196078</v>
      </c>
      <c r="T146" s="181"/>
    </row>
    <row r="147" spans="1:20" s="17" customFormat="1" x14ac:dyDescent="0.25">
      <c r="A147" s="17">
        <f t="shared" si="61"/>
        <v>13</v>
      </c>
      <c r="B147"/>
      <c r="C147" t="str">
        <f>$F141</f>
        <v>Danville Centre for Health and Rehabilitation</v>
      </c>
      <c r="D147" s="2" t="str">
        <f t="shared" si="44"/>
        <v>T_EBITDARM - EBITDARM</v>
      </c>
      <c r="E147"/>
      <c r="F147" s="24" t="str">
        <f>_xll.EVDES(D147)</f>
        <v>EBITDARM</v>
      </c>
      <c r="G147" s="19">
        <f ca="1">SUMIFS(OFFSET('BPC Data'!$F:$F,0,Summary!G$2),'BPC Data'!$E:$E,Summary!$D147,'BPC Data'!$B:$B,Summary!$C147)</f>
        <v>-92691</v>
      </c>
      <c r="H147" s="183">
        <f ca="1">SUMIFS(OFFSET('BPC Data'!$F:$F,0,Summary!H$2),'BPC Data'!$E:$E,Summary!$D147,'BPC Data'!$B:$B,Summary!$C147)</f>
        <v>-28685</v>
      </c>
      <c r="I147" s="19">
        <f ca="1">SUMIFS(OFFSET('BPC Data'!$F:$F,0,Summary!I$2),'BPC Data'!$E:$E,Summary!$D147,'BPC Data'!$B:$B,Summary!$C147)</f>
        <v>-26271</v>
      </c>
      <c r="J147" s="183">
        <f ca="1">SUMIFS(OFFSET('BPC Data'!$F:$F,0,Summary!J$2),'BPC Data'!$E:$E,Summary!$D147,'BPC Data'!$B:$B,Summary!$C147)</f>
        <v>498808</v>
      </c>
      <c r="K147" s="19">
        <f ca="1">SUMIFS(OFFSET('BPC Data'!$F:$F,0,Summary!K$2),'BPC Data'!$E:$E,Summary!$D147,'BPC Data'!$B:$B,Summary!$C147)</f>
        <v>-116715</v>
      </c>
      <c r="L147" s="183">
        <f ca="1">SUMIFS(OFFSET('BPC Data'!$F:$F,0,Summary!L$2),'BPC Data'!$E:$E,Summary!$D147,'BPC Data'!$B:$B,Summary!$C147)</f>
        <v>-78099</v>
      </c>
      <c r="M147" s="19">
        <f ca="1">SUMIFS(OFFSET('BPC Data'!$F:$F,0,Summary!M$2),'BPC Data'!$E:$E,Summary!$D147,'BPC Data'!$B:$B,Summary!$C147)</f>
        <v>151108</v>
      </c>
      <c r="N147" s="183">
        <f ca="1">SUMIFS(OFFSET('BPC Data'!$F:$F,0,Summary!N$2),'BPC Data'!$E:$E,Summary!$D147,'BPC Data'!$B:$B,Summary!$C147)</f>
        <v>46504</v>
      </c>
      <c r="O147" s="19">
        <f ca="1">SUMIFS(OFFSET('BPC Data'!$F:$F,0,Summary!O$2),'BPC Data'!$E:$E,Summary!$D147,'BPC Data'!$B:$B,Summary!$C147)</f>
        <v>52938</v>
      </c>
      <c r="P147" s="183">
        <f ca="1">SUMIFS(OFFSET('BPC Data'!$F:$F,0,Summary!P$2),'BPC Data'!$E:$E,Summary!$D147,'BPC Data'!$B:$B,Summary!$C147)</f>
        <v>15792</v>
      </c>
      <c r="Q147" s="19">
        <f ca="1">SUMIFS(OFFSET('BPC Data'!$F:$F,0,Summary!Q$2),'BPC Data'!$E:$E,Summary!$D147,'BPC Data'!$B:$B,Summary!$C147)</f>
        <v>-45953</v>
      </c>
      <c r="R147" s="183">
        <f ca="1">SUMIFS(OFFSET('BPC Data'!$F:$F,0,Summary!R$2),'BPC Data'!$E:$E,Summary!$D147,'BPC Data'!$B:$B,Summary!$C147)</f>
        <v>18723</v>
      </c>
      <c r="S147" s="187">
        <f t="shared" ca="1" si="58"/>
        <v>395459</v>
      </c>
      <c r="T147" s="181"/>
    </row>
    <row r="148" spans="1:20" s="17" customFormat="1" x14ac:dyDescent="0.25">
      <c r="A148" s="17">
        <f t="shared" si="61"/>
        <v>13</v>
      </c>
      <c r="B148"/>
      <c r="C148" t="str">
        <f>$F141</f>
        <v>Danville Centre for Health and Rehabilitation</v>
      </c>
      <c r="D148" s="2" t="str">
        <f t="shared" si="44"/>
        <v>T_MGMT_FEE - Tenant Management Fee - Actual</v>
      </c>
      <c r="E148"/>
      <c r="F148" s="24" t="str">
        <f>_xll.EVDES(D148)</f>
        <v>Tenant Management Fee - Actual</v>
      </c>
      <c r="G148" s="19">
        <f ca="1">SUMIFS(OFFSET('BPC Data'!$F:$F,0,Summary!G$2),'BPC Data'!$E:$E,Summary!$D148,'BPC Data'!$B:$B,Summary!$C148)</f>
        <v>31024</v>
      </c>
      <c r="H148" s="183">
        <f ca="1">SUMIFS(OFFSET('BPC Data'!$F:$F,0,Summary!H$2),'BPC Data'!$E:$E,Summary!$D148,'BPC Data'!$B:$B,Summary!$C148)</f>
        <v>32403</v>
      </c>
      <c r="I148" s="19">
        <f ca="1">SUMIFS(OFFSET('BPC Data'!$F:$F,0,Summary!I$2),'BPC Data'!$E:$E,Summary!$D148,'BPC Data'!$B:$B,Summary!$C148)</f>
        <v>35133</v>
      </c>
      <c r="J148" s="183">
        <f ca="1">SUMIFS(OFFSET('BPC Data'!$F:$F,0,Summary!J$2),'BPC Data'!$E:$E,Summary!$D148,'BPC Data'!$B:$B,Summary!$C148)</f>
        <v>68012</v>
      </c>
      <c r="K148" s="19">
        <f ca="1">SUMIFS(OFFSET('BPC Data'!$F:$F,0,Summary!K$2),'BPC Data'!$E:$E,Summary!$D148,'BPC Data'!$B:$B,Summary!$C148)</f>
        <v>32315</v>
      </c>
      <c r="L148" s="183">
        <f ca="1">SUMIFS(OFFSET('BPC Data'!$F:$F,0,Summary!L$2),'BPC Data'!$E:$E,Summary!$D148,'BPC Data'!$B:$B,Summary!$C148)</f>
        <v>26820</v>
      </c>
      <c r="M148" s="19">
        <f ca="1">SUMIFS(OFFSET('BPC Data'!$F:$F,0,Summary!M$2),'BPC Data'!$E:$E,Summary!$D148,'BPC Data'!$B:$B,Summary!$C148)</f>
        <v>37947</v>
      </c>
      <c r="N148" s="183">
        <f ca="1">SUMIFS(OFFSET('BPC Data'!$F:$F,0,Summary!N$2),'BPC Data'!$E:$E,Summary!$D148,'BPC Data'!$B:$B,Summary!$C148)</f>
        <v>32526</v>
      </c>
      <c r="O148" s="19">
        <f ca="1">SUMIFS(OFFSET('BPC Data'!$F:$F,0,Summary!O$2),'BPC Data'!$E:$E,Summary!$D148,'BPC Data'!$B:$B,Summary!$C148)</f>
        <v>33046</v>
      </c>
      <c r="P148" s="183">
        <f ca="1">SUMIFS(OFFSET('BPC Data'!$F:$F,0,Summary!P$2),'BPC Data'!$E:$E,Summary!$D148,'BPC Data'!$B:$B,Summary!$C148)</f>
        <v>31123</v>
      </c>
      <c r="Q148" s="19">
        <f ca="1">SUMIFS(OFFSET('BPC Data'!$F:$F,0,Summary!Q$2),'BPC Data'!$E:$E,Summary!$D148,'BPC Data'!$B:$B,Summary!$C148)</f>
        <v>30186</v>
      </c>
      <c r="R148" s="183">
        <f ca="1">SUMIFS(OFFSET('BPC Data'!$F:$F,0,Summary!R$2),'BPC Data'!$E:$E,Summary!$D148,'BPC Data'!$B:$B,Summary!$C148)</f>
        <v>33292</v>
      </c>
      <c r="S148" s="187">
        <f t="shared" ca="1" si="58"/>
        <v>423827</v>
      </c>
      <c r="T148" s="181"/>
    </row>
    <row r="149" spans="1:20" s="17" customFormat="1" x14ac:dyDescent="0.25">
      <c r="A149" s="17">
        <f t="shared" si="61"/>
        <v>13</v>
      </c>
      <c r="B149"/>
      <c r="C149" t="str">
        <f>$F141</f>
        <v>Danville Centre for Health and Rehabilitation</v>
      </c>
      <c r="D149" s="1" t="str">
        <f t="shared" si="44"/>
        <v>T_EBITDAR - EBITDAR</v>
      </c>
      <c r="E149"/>
      <c r="F149" s="24" t="str">
        <f>_xll.EVDES(D149)</f>
        <v>EBITDAR</v>
      </c>
      <c r="G149" s="19">
        <f ca="1">SUMIFS(OFFSET('BPC Data'!$F:$F,0,Summary!G$2),'BPC Data'!$E:$E,Summary!$D149,'BPC Data'!$B:$B,Summary!$C149)</f>
        <v>-123715</v>
      </c>
      <c r="H149" s="183">
        <f ca="1">SUMIFS(OFFSET('BPC Data'!$F:$F,0,Summary!H$2),'BPC Data'!$E:$E,Summary!$D149,'BPC Data'!$B:$B,Summary!$C149)</f>
        <v>-61088</v>
      </c>
      <c r="I149" s="19">
        <f ca="1">SUMIFS(OFFSET('BPC Data'!$F:$F,0,Summary!I$2),'BPC Data'!$E:$E,Summary!$D149,'BPC Data'!$B:$B,Summary!$C149)</f>
        <v>-61404</v>
      </c>
      <c r="J149" s="183">
        <f ca="1">SUMIFS(OFFSET('BPC Data'!$F:$F,0,Summary!J$2),'BPC Data'!$E:$E,Summary!$D149,'BPC Data'!$B:$B,Summary!$C149)</f>
        <v>430796</v>
      </c>
      <c r="K149" s="19">
        <f ca="1">SUMIFS(OFFSET('BPC Data'!$F:$F,0,Summary!K$2),'BPC Data'!$E:$E,Summary!$D149,'BPC Data'!$B:$B,Summary!$C149)</f>
        <v>-149030</v>
      </c>
      <c r="L149" s="183">
        <f ca="1">SUMIFS(OFFSET('BPC Data'!$F:$F,0,Summary!L$2),'BPC Data'!$E:$E,Summary!$D149,'BPC Data'!$B:$B,Summary!$C149)</f>
        <v>-104919</v>
      </c>
      <c r="M149" s="19">
        <f ca="1">SUMIFS(OFFSET('BPC Data'!$F:$F,0,Summary!M$2),'BPC Data'!$E:$E,Summary!$D149,'BPC Data'!$B:$B,Summary!$C149)</f>
        <v>113161</v>
      </c>
      <c r="N149" s="183">
        <f ca="1">SUMIFS(OFFSET('BPC Data'!$F:$F,0,Summary!N$2),'BPC Data'!$E:$E,Summary!$D149,'BPC Data'!$B:$B,Summary!$C149)</f>
        <v>13978</v>
      </c>
      <c r="O149" s="19">
        <f ca="1">SUMIFS(OFFSET('BPC Data'!$F:$F,0,Summary!O$2),'BPC Data'!$E:$E,Summary!$D149,'BPC Data'!$B:$B,Summary!$C149)</f>
        <v>19892</v>
      </c>
      <c r="P149" s="183">
        <f ca="1">SUMIFS(OFFSET('BPC Data'!$F:$F,0,Summary!P$2),'BPC Data'!$E:$E,Summary!$D149,'BPC Data'!$B:$B,Summary!$C149)</f>
        <v>-15331</v>
      </c>
      <c r="Q149" s="19">
        <f ca="1">SUMIFS(OFFSET('BPC Data'!$F:$F,0,Summary!Q$2),'BPC Data'!$E:$E,Summary!$D149,'BPC Data'!$B:$B,Summary!$C149)</f>
        <v>-76139</v>
      </c>
      <c r="R149" s="183">
        <f ca="1">SUMIFS(OFFSET('BPC Data'!$F:$F,0,Summary!R$2),'BPC Data'!$E:$E,Summary!$D149,'BPC Data'!$B:$B,Summary!$C149)</f>
        <v>-14569</v>
      </c>
      <c r="S149" s="187">
        <f t="shared" ca="1" si="58"/>
        <v>-28368</v>
      </c>
      <c r="T149" s="181"/>
    </row>
    <row r="150" spans="1:20" s="17" customFormat="1" x14ac:dyDescent="0.25">
      <c r="A150" s="17">
        <f t="shared" si="61"/>
        <v>13</v>
      </c>
      <c r="B150"/>
      <c r="C150" t="str">
        <f>$F141</f>
        <v>Danville Centre for Health and Rehabilitation</v>
      </c>
      <c r="D150" s="1" t="str">
        <f t="shared" ref="D150:D213" si="62">$D139</f>
        <v>T_RENT_EXP - Tenant Rent Expense</v>
      </c>
      <c r="E150"/>
      <c r="F150" s="24" t="str">
        <f>_xll.EVDES(D150)</f>
        <v>Tenant Rent Expense</v>
      </c>
      <c r="G150" s="19">
        <f ca="1">SUMIFS(OFFSET('BPC Data'!$F:$F,0,Summary!G$2),'BPC Data'!$E:$E,Summary!$D150,'BPC Data'!$B:$B,Summary!$C150)</f>
        <v>5253</v>
      </c>
      <c r="H150" s="183">
        <f ca="1">SUMIFS(OFFSET('BPC Data'!$F:$F,0,Summary!H$2),'BPC Data'!$E:$E,Summary!$D150,'BPC Data'!$B:$B,Summary!$C150)</f>
        <v>5253</v>
      </c>
      <c r="I150" s="19">
        <f ca="1">SUMIFS(OFFSET('BPC Data'!$F:$F,0,Summary!I$2),'BPC Data'!$E:$E,Summary!$D150,'BPC Data'!$B:$B,Summary!$C150)</f>
        <v>5253</v>
      </c>
      <c r="J150" s="183">
        <f ca="1">SUMIFS(OFFSET('BPC Data'!$F:$F,0,Summary!J$2),'BPC Data'!$E:$E,Summary!$D150,'BPC Data'!$B:$B,Summary!$C150)</f>
        <v>5384</v>
      </c>
      <c r="K150" s="19">
        <f ca="1">SUMIFS(OFFSET('BPC Data'!$F:$F,0,Summary!K$2),'BPC Data'!$E:$E,Summary!$D150,'BPC Data'!$B:$B,Summary!$C150)</f>
        <v>5384</v>
      </c>
      <c r="L150" s="183">
        <f ca="1">SUMIFS(OFFSET('BPC Data'!$F:$F,0,Summary!L$2),'BPC Data'!$E:$E,Summary!$D150,'BPC Data'!$B:$B,Summary!$C150)</f>
        <v>5384</v>
      </c>
      <c r="M150" s="19">
        <f ca="1">SUMIFS(OFFSET('BPC Data'!$F:$F,0,Summary!M$2),'BPC Data'!$E:$E,Summary!$D150,'BPC Data'!$B:$B,Summary!$C150)</f>
        <v>5384</v>
      </c>
      <c r="N150" s="183">
        <f ca="1">SUMIFS(OFFSET('BPC Data'!$F:$F,0,Summary!N$2),'BPC Data'!$E:$E,Summary!$D150,'BPC Data'!$B:$B,Summary!$C150)</f>
        <v>5384</v>
      </c>
      <c r="O150" s="19">
        <f ca="1">SUMIFS(OFFSET('BPC Data'!$F:$F,0,Summary!O$2),'BPC Data'!$E:$E,Summary!$D150,'BPC Data'!$B:$B,Summary!$C150)</f>
        <v>5384</v>
      </c>
      <c r="P150" s="183">
        <f ca="1">SUMIFS(OFFSET('BPC Data'!$F:$F,0,Summary!P$2),'BPC Data'!$E:$E,Summary!$D150,'BPC Data'!$B:$B,Summary!$C150)</f>
        <v>5384</v>
      </c>
      <c r="Q150" s="19">
        <f ca="1">SUMIFS(OFFSET('BPC Data'!$F:$F,0,Summary!Q$2),'BPC Data'!$E:$E,Summary!$D150,'BPC Data'!$B:$B,Summary!$C150)</f>
        <v>5384</v>
      </c>
      <c r="R150" s="183">
        <f ca="1">SUMIFS(OFFSET('BPC Data'!$F:$F,0,Summary!R$2),'BPC Data'!$E:$E,Summary!$D150,'BPC Data'!$B:$B,Summary!$C150)</f>
        <v>5384</v>
      </c>
      <c r="S150" s="187">
        <f t="shared" ca="1" si="58"/>
        <v>64215</v>
      </c>
      <c r="T150" s="181"/>
    </row>
    <row r="151" spans="1:20" s="17" customFormat="1" x14ac:dyDescent="0.25">
      <c r="A151" s="17">
        <f t="shared" si="61"/>
        <v>13</v>
      </c>
      <c r="B151"/>
      <c r="C151"/>
      <c r="D151" s="1" t="str">
        <f t="shared" si="62"/>
        <v>x</v>
      </c>
      <c r="E151"/>
      <c r="F151" s="24" t="s">
        <v>0</v>
      </c>
      <c r="G151" s="12">
        <f ca="1">G149/G150</f>
        <v>-23.551304016752333</v>
      </c>
      <c r="H151" s="184">
        <f t="shared" ref="H151:I151" ca="1" si="63">H149/H150</f>
        <v>-11.629164287074053</v>
      </c>
      <c r="I151" s="12">
        <f t="shared" ca="1" si="63"/>
        <v>-11.689320388349515</v>
      </c>
      <c r="J151" s="184">
        <f t="shared" ref="J151:R151" ca="1" si="64">J149/J150</f>
        <v>80.014115898959886</v>
      </c>
      <c r="K151" s="12">
        <f t="shared" ca="1" si="64"/>
        <v>-27.680163447251115</v>
      </c>
      <c r="L151" s="184">
        <f t="shared" ca="1" si="64"/>
        <v>-19.48718424962853</v>
      </c>
      <c r="M151" s="12">
        <f t="shared" ca="1" si="64"/>
        <v>21.018016344725112</v>
      </c>
      <c r="N151" s="184">
        <f t="shared" ca="1" si="64"/>
        <v>2.5962109955423478</v>
      </c>
      <c r="O151" s="12">
        <f t="shared" ca="1" si="64"/>
        <v>3.6946508172362558</v>
      </c>
      <c r="P151" s="184">
        <f t="shared" ca="1" si="64"/>
        <v>-2.8475111441307579</v>
      </c>
      <c r="Q151" s="12">
        <f t="shared" ca="1" si="64"/>
        <v>-14.141716196136702</v>
      </c>
      <c r="R151" s="184">
        <f t="shared" ca="1" si="64"/>
        <v>-2.7059806835066866</v>
      </c>
      <c r="S151" s="187">
        <f t="shared" ca="1" si="58"/>
        <v>-6.4093503563660903</v>
      </c>
      <c r="T151" s="181"/>
    </row>
    <row r="152" spans="1:20" s="17" customFormat="1" x14ac:dyDescent="0.25">
      <c r="A152" s="17">
        <f>IF(AND(D152&lt;&gt;"",C152=""),A151+1,A151)</f>
        <v>14</v>
      </c>
      <c r="B152" s="5"/>
      <c r="C152" s="5"/>
      <c r="D152" s="5" t="str">
        <f t="shared" si="62"/>
        <v>x</v>
      </c>
      <c r="E152" s="5"/>
      <c r="F152" s="23" t="str">
        <f>INDEX(PropertyList!$D:$D,MATCH(Summary!$A152,PropertyList!$C:$C,0))</f>
        <v>SHC at Hillcrest</v>
      </c>
      <c r="G152" s="11"/>
      <c r="H152" s="182"/>
      <c r="I152" s="11"/>
      <c r="J152" s="182"/>
      <c r="K152" s="11"/>
      <c r="L152" s="182"/>
      <c r="M152" s="11"/>
      <c r="N152" s="182"/>
      <c r="O152" s="11"/>
      <c r="P152" s="182"/>
      <c r="Q152" s="11"/>
      <c r="R152" s="182"/>
      <c r="S152" s="187">
        <f t="shared" si="58"/>
        <v>0</v>
      </c>
      <c r="T152" s="181"/>
    </row>
    <row r="153" spans="1:20" s="17" customFormat="1" x14ac:dyDescent="0.25">
      <c r="A153" s="17">
        <f>IF(AND(F153&lt;&gt;"",D153=""),A152+1,A152)</f>
        <v>14</v>
      </c>
      <c r="C153" t="str">
        <f>$F152</f>
        <v>SHC at Hillcrest</v>
      </c>
      <c r="D153" s="3" t="str">
        <f t="shared" si="62"/>
        <v>PAY_PAT_DAYS - Total Payor Patient Days</v>
      </c>
      <c r="F153" s="24" t="str">
        <f>_xll.EVDES(D153)</f>
        <v>Total Payor Patient Days</v>
      </c>
      <c r="G153" s="19">
        <f ca="1">SUMIFS(OFFSET('BPC Data'!$F:$F,0,Summary!G$2),'BPC Data'!$E:$E,Summary!$D153,'BPC Data'!$B:$B,Summary!$C153)</f>
        <v>3645</v>
      </c>
      <c r="H153" s="183">
        <f ca="1">SUMIFS(OFFSET('BPC Data'!$F:$F,0,Summary!H$2),'BPC Data'!$E:$E,Summary!$D153,'BPC Data'!$B:$B,Summary!$C153)</f>
        <v>3390</v>
      </c>
      <c r="I153" s="19">
        <f ca="1">SUMIFS(OFFSET('BPC Data'!$F:$F,0,Summary!I$2),'BPC Data'!$E:$E,Summary!$D153,'BPC Data'!$B:$B,Summary!$C153)</f>
        <v>3223</v>
      </c>
      <c r="J153" s="183">
        <f ca="1">SUMIFS(OFFSET('BPC Data'!$F:$F,0,Summary!J$2),'BPC Data'!$E:$E,Summary!$D153,'BPC Data'!$B:$B,Summary!$C153)</f>
        <v>3006</v>
      </c>
      <c r="K153" s="19">
        <f ca="1">SUMIFS(OFFSET('BPC Data'!$F:$F,0,Summary!K$2),'BPC Data'!$E:$E,Summary!$D153,'BPC Data'!$B:$B,Summary!$C153)</f>
        <v>3150</v>
      </c>
      <c r="L153" s="183">
        <f ca="1">SUMIFS(OFFSET('BPC Data'!$F:$F,0,Summary!L$2),'BPC Data'!$E:$E,Summary!$D153,'BPC Data'!$B:$B,Summary!$C153)</f>
        <v>3185</v>
      </c>
      <c r="M153" s="19">
        <f ca="1">SUMIFS(OFFSET('BPC Data'!$F:$F,0,Summary!M$2),'BPC Data'!$E:$E,Summary!$D153,'BPC Data'!$B:$B,Summary!$C153)</f>
        <v>3750</v>
      </c>
      <c r="N153" s="183">
        <f ca="1">SUMIFS(OFFSET('BPC Data'!$F:$F,0,Summary!N$2),'BPC Data'!$E:$E,Summary!$D153,'BPC Data'!$B:$B,Summary!$C153)</f>
        <v>3632</v>
      </c>
      <c r="O153" s="19">
        <f ca="1">SUMIFS(OFFSET('BPC Data'!$F:$F,0,Summary!O$2),'BPC Data'!$E:$E,Summary!$D153,'BPC Data'!$B:$B,Summary!$C153)</f>
        <v>3773</v>
      </c>
      <c r="P153" s="183">
        <f ca="1">SUMIFS(OFFSET('BPC Data'!$F:$F,0,Summary!P$2),'BPC Data'!$E:$E,Summary!$D153,'BPC Data'!$B:$B,Summary!$C153)</f>
        <v>3697</v>
      </c>
      <c r="Q153" s="19">
        <f ca="1">SUMIFS(OFFSET('BPC Data'!$F:$F,0,Summary!Q$2),'BPC Data'!$E:$E,Summary!$D153,'BPC Data'!$B:$B,Summary!$C153)</f>
        <v>3722</v>
      </c>
      <c r="R153" s="183">
        <f ca="1">SUMIFS(OFFSET('BPC Data'!$F:$F,0,Summary!R$2),'BPC Data'!$E:$E,Summary!$D153,'BPC Data'!$B:$B,Summary!$C153)</f>
        <v>3591</v>
      </c>
      <c r="S153" s="187">
        <f t="shared" ca="1" si="58"/>
        <v>41764</v>
      </c>
      <c r="T153" s="181"/>
    </row>
    <row r="154" spans="1:20" s="17" customFormat="1" x14ac:dyDescent="0.25">
      <c r="A154" s="17">
        <f t="shared" ref="A154:A162" si="65">IF(AND(F154&lt;&gt;"",D154=""),A153+1,A153)</f>
        <v>14</v>
      </c>
      <c r="C154" t="str">
        <f>$F152</f>
        <v>SHC at Hillcrest</v>
      </c>
      <c r="D154" s="3" t="str">
        <f t="shared" si="62"/>
        <v>A_BEDS_TOTAL - Total Available Beds</v>
      </c>
      <c r="F154" s="24" t="str">
        <f>_xll.EVDES(D154)</f>
        <v>Total Available Beds</v>
      </c>
      <c r="G154" s="19">
        <f ca="1">SUMIFS(OFFSET('BPC Data'!$F:$F,0,Summary!G$2),'BPC Data'!$E:$E,Summary!$D154,'BPC Data'!$B:$B,Summary!$C154)</f>
        <v>140</v>
      </c>
      <c r="H154" s="183">
        <f ca="1">SUMIFS(OFFSET('BPC Data'!$F:$F,0,Summary!H$2),'BPC Data'!$E:$E,Summary!$D154,'BPC Data'!$B:$B,Summary!$C154)</f>
        <v>140</v>
      </c>
      <c r="I154" s="19">
        <f ca="1">SUMIFS(OFFSET('BPC Data'!$F:$F,0,Summary!I$2),'BPC Data'!$E:$E,Summary!$D154,'BPC Data'!$B:$B,Summary!$C154)</f>
        <v>140</v>
      </c>
      <c r="J154" s="183">
        <f ca="1">SUMIFS(OFFSET('BPC Data'!$F:$F,0,Summary!J$2),'BPC Data'!$E:$E,Summary!$D154,'BPC Data'!$B:$B,Summary!$C154)</f>
        <v>140</v>
      </c>
      <c r="K154" s="19">
        <f ca="1">SUMIFS(OFFSET('BPC Data'!$F:$F,0,Summary!K$2),'BPC Data'!$E:$E,Summary!$D154,'BPC Data'!$B:$B,Summary!$C154)</f>
        <v>140</v>
      </c>
      <c r="L154" s="183">
        <f ca="1">SUMIFS(OFFSET('BPC Data'!$F:$F,0,Summary!L$2),'BPC Data'!$E:$E,Summary!$D154,'BPC Data'!$B:$B,Summary!$C154)</f>
        <v>140</v>
      </c>
      <c r="M154" s="19">
        <f ca="1">SUMIFS(OFFSET('BPC Data'!$F:$F,0,Summary!M$2),'BPC Data'!$E:$E,Summary!$D154,'BPC Data'!$B:$B,Summary!$C154)</f>
        <v>140</v>
      </c>
      <c r="N154" s="183">
        <f ca="1">SUMIFS(OFFSET('BPC Data'!$F:$F,0,Summary!N$2),'BPC Data'!$E:$E,Summary!$D154,'BPC Data'!$B:$B,Summary!$C154)</f>
        <v>140</v>
      </c>
      <c r="O154" s="19">
        <f ca="1">SUMIFS(OFFSET('BPC Data'!$F:$F,0,Summary!O$2),'BPC Data'!$E:$E,Summary!$D154,'BPC Data'!$B:$B,Summary!$C154)</f>
        <v>140</v>
      </c>
      <c r="P154" s="183">
        <f ca="1">SUMIFS(OFFSET('BPC Data'!$F:$F,0,Summary!P$2),'BPC Data'!$E:$E,Summary!$D154,'BPC Data'!$B:$B,Summary!$C154)</f>
        <v>140</v>
      </c>
      <c r="Q154" s="19">
        <f ca="1">SUMIFS(OFFSET('BPC Data'!$F:$F,0,Summary!Q$2),'BPC Data'!$E:$E,Summary!$D154,'BPC Data'!$B:$B,Summary!$C154)</f>
        <v>140</v>
      </c>
      <c r="R154" s="183">
        <f ca="1">SUMIFS(OFFSET('BPC Data'!$F:$F,0,Summary!R$2),'BPC Data'!$E:$E,Summary!$D154,'BPC Data'!$B:$B,Summary!$C154)</f>
        <v>140</v>
      </c>
      <c r="S154" s="187">
        <f ca="1">R154</f>
        <v>140</v>
      </c>
      <c r="T154" s="181"/>
    </row>
    <row r="155" spans="1:20" s="17" customFormat="1" x14ac:dyDescent="0.25">
      <c r="A155" s="17">
        <f t="shared" si="65"/>
        <v>14</v>
      </c>
      <c r="B155"/>
      <c r="C155" t="str">
        <f>$F152</f>
        <v>SHC at Hillcrest</v>
      </c>
      <c r="D155" s="3" t="str">
        <f t="shared" si="62"/>
        <v>T_REVENUES - Total Tenant Revenues</v>
      </c>
      <c r="E155"/>
      <c r="F155" s="24" t="str">
        <f>_xll.EVDES(D155)</f>
        <v>Total Tenant Revenues</v>
      </c>
      <c r="G155" s="19">
        <f ca="1">SUMIFS(OFFSET('BPC Data'!$F:$F,0,Summary!G$2),'BPC Data'!$E:$E,Summary!$D155,'BPC Data'!$B:$B,Summary!$C155)</f>
        <v>1189554</v>
      </c>
      <c r="H155" s="183">
        <f ca="1">SUMIFS(OFFSET('BPC Data'!$F:$F,0,Summary!H$2),'BPC Data'!$E:$E,Summary!$D155,'BPC Data'!$B:$B,Summary!$C155)</f>
        <v>1115132</v>
      </c>
      <c r="I155" s="19">
        <f ca="1">SUMIFS(OFFSET('BPC Data'!$F:$F,0,Summary!I$2),'BPC Data'!$E:$E,Summary!$D155,'BPC Data'!$B:$B,Summary!$C155)</f>
        <v>1085108</v>
      </c>
      <c r="J155" s="183">
        <f ca="1">SUMIFS(OFFSET('BPC Data'!$F:$F,0,Summary!J$2),'BPC Data'!$E:$E,Summary!$D155,'BPC Data'!$B:$B,Summary!$C155)</f>
        <v>1407468</v>
      </c>
      <c r="K155" s="19">
        <f ca="1">SUMIFS(OFFSET('BPC Data'!$F:$F,0,Summary!K$2),'BPC Data'!$E:$E,Summary!$D155,'BPC Data'!$B:$B,Summary!$C155)</f>
        <v>907425</v>
      </c>
      <c r="L155" s="183">
        <f ca="1">SUMIFS(OFFSET('BPC Data'!$F:$F,0,Summary!L$2),'BPC Data'!$E:$E,Summary!$D155,'BPC Data'!$B:$B,Summary!$C155)</f>
        <v>927842</v>
      </c>
      <c r="M155" s="19">
        <f ca="1">SUMIFS(OFFSET('BPC Data'!$F:$F,0,Summary!M$2),'BPC Data'!$E:$E,Summary!$D155,'BPC Data'!$B:$B,Summary!$C155)</f>
        <v>1317582</v>
      </c>
      <c r="N155" s="183">
        <f ca="1">SUMIFS(OFFSET('BPC Data'!$F:$F,0,Summary!N$2),'BPC Data'!$E:$E,Summary!$D155,'BPC Data'!$B:$B,Summary!$C155)</f>
        <v>1110243</v>
      </c>
      <c r="O155" s="19">
        <f ca="1">SUMIFS(OFFSET('BPC Data'!$F:$F,0,Summary!O$2),'BPC Data'!$E:$E,Summary!$D155,'BPC Data'!$B:$B,Summary!$C155)</f>
        <v>1152501</v>
      </c>
      <c r="P155" s="183">
        <f ca="1">SUMIFS(OFFSET('BPC Data'!$F:$F,0,Summary!P$2),'BPC Data'!$E:$E,Summary!$D155,'BPC Data'!$B:$B,Summary!$C155)</f>
        <v>1076735</v>
      </c>
      <c r="Q155" s="19">
        <f ca="1">SUMIFS(OFFSET('BPC Data'!$F:$F,0,Summary!Q$2),'BPC Data'!$E:$E,Summary!$D155,'BPC Data'!$B:$B,Summary!$C155)</f>
        <v>1142459</v>
      </c>
      <c r="R155" s="183">
        <f ca="1">SUMIFS(OFFSET('BPC Data'!$F:$F,0,Summary!R$2),'BPC Data'!$E:$E,Summary!$D155,'BPC Data'!$B:$B,Summary!$C155)</f>
        <v>1086294</v>
      </c>
      <c r="S155" s="187">
        <f t="shared" ca="1" si="58"/>
        <v>13518343</v>
      </c>
      <c r="T155" s="181"/>
    </row>
    <row r="156" spans="1:20" s="17" customFormat="1" x14ac:dyDescent="0.25">
      <c r="A156" s="17">
        <f t="shared" si="65"/>
        <v>14</v>
      </c>
      <c r="B156"/>
      <c r="C156" t="str">
        <f>$F152</f>
        <v>SHC at Hillcrest</v>
      </c>
      <c r="D156" s="3" t="str">
        <f t="shared" si="62"/>
        <v>T_OPEX - Tenant Operating Expenses</v>
      </c>
      <c r="E156"/>
      <c r="F156" s="24" t="str">
        <f>_xll.EVDES(D156)</f>
        <v>Tenant Operating Expenses</v>
      </c>
      <c r="G156" s="19">
        <f ca="1">SUMIFS(OFFSET('BPC Data'!$F:$F,0,Summary!G$2),'BPC Data'!$E:$E,Summary!$D156,'BPC Data'!$B:$B,Summary!$C156)</f>
        <v>825484</v>
      </c>
      <c r="H156" s="183">
        <f ca="1">SUMIFS(OFFSET('BPC Data'!$F:$F,0,Summary!H$2),'BPC Data'!$E:$E,Summary!$D156,'BPC Data'!$B:$B,Summary!$C156)</f>
        <v>877734</v>
      </c>
      <c r="I156" s="19">
        <f ca="1">SUMIFS(OFFSET('BPC Data'!$F:$F,0,Summary!I$2),'BPC Data'!$E:$E,Summary!$D156,'BPC Data'!$B:$B,Summary!$C156)</f>
        <v>869508</v>
      </c>
      <c r="J156" s="183">
        <f ca="1">SUMIFS(OFFSET('BPC Data'!$F:$F,0,Summary!J$2),'BPC Data'!$E:$E,Summary!$D156,'BPC Data'!$B:$B,Summary!$C156)</f>
        <v>1063902</v>
      </c>
      <c r="K156" s="19">
        <f ca="1">SUMIFS(OFFSET('BPC Data'!$F:$F,0,Summary!K$2),'BPC Data'!$E:$E,Summary!$D156,'BPC Data'!$B:$B,Summary!$C156)</f>
        <v>905029</v>
      </c>
      <c r="L156" s="183">
        <f ca="1">SUMIFS(OFFSET('BPC Data'!$F:$F,0,Summary!L$2),'BPC Data'!$E:$E,Summary!$D156,'BPC Data'!$B:$B,Summary!$C156)</f>
        <v>717986</v>
      </c>
      <c r="M156" s="19">
        <f ca="1">SUMIFS(OFFSET('BPC Data'!$F:$F,0,Summary!M$2),'BPC Data'!$E:$E,Summary!$D156,'BPC Data'!$B:$B,Summary!$C156)</f>
        <v>884855</v>
      </c>
      <c r="N156" s="183">
        <f ca="1">SUMIFS(OFFSET('BPC Data'!$F:$F,0,Summary!N$2),'BPC Data'!$E:$E,Summary!$D156,'BPC Data'!$B:$B,Summary!$C156)</f>
        <v>843920</v>
      </c>
      <c r="O156" s="19">
        <f ca="1">SUMIFS(OFFSET('BPC Data'!$F:$F,0,Summary!O$2),'BPC Data'!$E:$E,Summary!$D156,'BPC Data'!$B:$B,Summary!$C156)</f>
        <v>801589</v>
      </c>
      <c r="P156" s="183">
        <f ca="1">SUMIFS(OFFSET('BPC Data'!$F:$F,0,Summary!P$2),'BPC Data'!$E:$E,Summary!$D156,'BPC Data'!$B:$B,Summary!$C156)</f>
        <v>835069</v>
      </c>
      <c r="Q156" s="19">
        <f ca="1">SUMIFS(OFFSET('BPC Data'!$F:$F,0,Summary!Q$2),'BPC Data'!$E:$E,Summary!$D156,'BPC Data'!$B:$B,Summary!$C156)</f>
        <v>866610</v>
      </c>
      <c r="R156" s="183">
        <f ca="1">SUMIFS(OFFSET('BPC Data'!$F:$F,0,Summary!R$2),'BPC Data'!$E:$E,Summary!$D156,'BPC Data'!$B:$B,Summary!$C156)</f>
        <v>864050</v>
      </c>
      <c r="S156" s="187">
        <f t="shared" ca="1" si="58"/>
        <v>10355736</v>
      </c>
      <c r="T156" s="181"/>
    </row>
    <row r="157" spans="1:20" s="17" customFormat="1" x14ac:dyDescent="0.25">
      <c r="A157" s="17">
        <f t="shared" si="65"/>
        <v>14</v>
      </c>
      <c r="B157"/>
      <c r="C157" t="str">
        <f>$F152</f>
        <v>SHC at Hillcrest</v>
      </c>
      <c r="D157" s="3" t="str">
        <f t="shared" si="62"/>
        <v>T_BAD_DEBT - Tenant Bad Debt Expense</v>
      </c>
      <c r="E157"/>
      <c r="F157" s="24" t="str">
        <f>_xll.EVDES(D157)</f>
        <v>Tenant Bad Debt Expense</v>
      </c>
      <c r="G157" s="19">
        <f ca="1">SUMIFS(OFFSET('BPC Data'!$F:$F,0,Summary!G$2),'BPC Data'!$E:$E,Summary!$D157,'BPC Data'!$B:$B,Summary!$C157)</f>
        <v>5000</v>
      </c>
      <c r="H157" s="183">
        <f ca="1">SUMIFS(OFFSET('BPC Data'!$F:$F,0,Summary!H$2),'BPC Data'!$E:$E,Summary!$D157,'BPC Data'!$B:$B,Summary!$C157)</f>
        <v>-5000</v>
      </c>
      <c r="I157" s="19">
        <f ca="1">SUMIFS(OFFSET('BPC Data'!$F:$F,0,Summary!I$2),'BPC Data'!$E:$E,Summary!$D157,'BPC Data'!$B:$B,Summary!$C157)</f>
        <v>0</v>
      </c>
      <c r="J157" s="183">
        <f ca="1">SUMIFS(OFFSET('BPC Data'!$F:$F,0,Summary!J$2),'BPC Data'!$E:$E,Summary!$D157,'BPC Data'!$B:$B,Summary!$C157)</f>
        <v>-5000</v>
      </c>
      <c r="K157" s="19">
        <f ca="1">SUMIFS(OFFSET('BPC Data'!$F:$F,0,Summary!K$2),'BPC Data'!$E:$E,Summary!$D157,'BPC Data'!$B:$B,Summary!$C157)</f>
        <v>10000</v>
      </c>
      <c r="L157" s="183">
        <f ca="1">SUMIFS(OFFSET('BPC Data'!$F:$F,0,Summary!L$2),'BPC Data'!$E:$E,Summary!$D157,'BPC Data'!$B:$B,Summary!$C157)</f>
        <v>5000</v>
      </c>
      <c r="M157" s="19">
        <f ca="1">SUMIFS(OFFSET('BPC Data'!$F:$F,0,Summary!M$2),'BPC Data'!$E:$E,Summary!$D157,'BPC Data'!$B:$B,Summary!$C157)</f>
        <v>0</v>
      </c>
      <c r="N157" s="183">
        <f ca="1">SUMIFS(OFFSET('BPC Data'!$F:$F,0,Summary!N$2),'BPC Data'!$E:$E,Summary!$D157,'BPC Data'!$B:$B,Summary!$C157)</f>
        <v>0</v>
      </c>
      <c r="O157" s="19">
        <f ca="1">SUMIFS(OFFSET('BPC Data'!$F:$F,0,Summary!O$2),'BPC Data'!$E:$E,Summary!$D157,'BPC Data'!$B:$B,Summary!$C157)</f>
        <v>0</v>
      </c>
      <c r="P157" s="183">
        <f ca="1">SUMIFS(OFFSET('BPC Data'!$F:$F,0,Summary!P$2),'BPC Data'!$E:$E,Summary!$D157,'BPC Data'!$B:$B,Summary!$C157)</f>
        <v>0</v>
      </c>
      <c r="Q157" s="19">
        <f ca="1">SUMIFS(OFFSET('BPC Data'!$F:$F,0,Summary!Q$2),'BPC Data'!$E:$E,Summary!$D157,'BPC Data'!$B:$B,Summary!$C157)</f>
        <v>0</v>
      </c>
      <c r="R157" s="183">
        <f ca="1">SUMIFS(OFFSET('BPC Data'!$F:$F,0,Summary!R$2),'BPC Data'!$E:$E,Summary!$D157,'BPC Data'!$B:$B,Summary!$C157)</f>
        <v>0</v>
      </c>
      <c r="S157" s="187">
        <f t="shared" ca="1" si="58"/>
        <v>10000</v>
      </c>
      <c r="T157" s="181"/>
    </row>
    <row r="158" spans="1:20" s="17" customFormat="1" x14ac:dyDescent="0.25">
      <c r="A158" s="17">
        <f t="shared" si="65"/>
        <v>14</v>
      </c>
      <c r="B158"/>
      <c r="C158" t="str">
        <f>$F152</f>
        <v>SHC at Hillcrest</v>
      </c>
      <c r="D158" s="2" t="str">
        <f t="shared" si="62"/>
        <v>T_EBITDARM - EBITDARM</v>
      </c>
      <c r="E158"/>
      <c r="F158" s="24" t="str">
        <f>_xll.EVDES(D158)</f>
        <v>EBITDARM</v>
      </c>
      <c r="G158" s="19">
        <f ca="1">SUMIFS(OFFSET('BPC Data'!$F:$F,0,Summary!G$2),'BPC Data'!$E:$E,Summary!$D158,'BPC Data'!$B:$B,Summary!$C158)</f>
        <v>364070</v>
      </c>
      <c r="H158" s="183">
        <f ca="1">SUMIFS(OFFSET('BPC Data'!$F:$F,0,Summary!H$2),'BPC Data'!$E:$E,Summary!$D158,'BPC Data'!$B:$B,Summary!$C158)</f>
        <v>237398</v>
      </c>
      <c r="I158" s="19">
        <f ca="1">SUMIFS(OFFSET('BPC Data'!$F:$F,0,Summary!I$2),'BPC Data'!$E:$E,Summary!$D158,'BPC Data'!$B:$B,Summary!$C158)</f>
        <v>215600</v>
      </c>
      <c r="J158" s="183">
        <f ca="1">SUMIFS(OFFSET('BPC Data'!$F:$F,0,Summary!J$2),'BPC Data'!$E:$E,Summary!$D158,'BPC Data'!$B:$B,Summary!$C158)</f>
        <v>343566</v>
      </c>
      <c r="K158" s="19">
        <f ca="1">SUMIFS(OFFSET('BPC Data'!$F:$F,0,Summary!K$2),'BPC Data'!$E:$E,Summary!$D158,'BPC Data'!$B:$B,Summary!$C158)</f>
        <v>2396</v>
      </c>
      <c r="L158" s="183">
        <f ca="1">SUMIFS(OFFSET('BPC Data'!$F:$F,0,Summary!L$2),'BPC Data'!$E:$E,Summary!$D158,'BPC Data'!$B:$B,Summary!$C158)</f>
        <v>209856</v>
      </c>
      <c r="M158" s="19">
        <f ca="1">SUMIFS(OFFSET('BPC Data'!$F:$F,0,Summary!M$2),'BPC Data'!$E:$E,Summary!$D158,'BPC Data'!$B:$B,Summary!$C158)</f>
        <v>432727</v>
      </c>
      <c r="N158" s="183">
        <f ca="1">SUMIFS(OFFSET('BPC Data'!$F:$F,0,Summary!N$2),'BPC Data'!$E:$E,Summary!$D158,'BPC Data'!$B:$B,Summary!$C158)</f>
        <v>266323</v>
      </c>
      <c r="O158" s="19">
        <f ca="1">SUMIFS(OFFSET('BPC Data'!$F:$F,0,Summary!O$2),'BPC Data'!$E:$E,Summary!$D158,'BPC Data'!$B:$B,Summary!$C158)</f>
        <v>350912</v>
      </c>
      <c r="P158" s="183">
        <f ca="1">SUMIFS(OFFSET('BPC Data'!$F:$F,0,Summary!P$2),'BPC Data'!$E:$E,Summary!$D158,'BPC Data'!$B:$B,Summary!$C158)</f>
        <v>241666</v>
      </c>
      <c r="Q158" s="19">
        <f ca="1">SUMIFS(OFFSET('BPC Data'!$F:$F,0,Summary!Q$2),'BPC Data'!$E:$E,Summary!$D158,'BPC Data'!$B:$B,Summary!$C158)</f>
        <v>275849</v>
      </c>
      <c r="R158" s="183">
        <f ca="1">SUMIFS(OFFSET('BPC Data'!$F:$F,0,Summary!R$2),'BPC Data'!$E:$E,Summary!$D158,'BPC Data'!$B:$B,Summary!$C158)</f>
        <v>222244</v>
      </c>
      <c r="S158" s="187">
        <f t="shared" ca="1" si="58"/>
        <v>3162607</v>
      </c>
      <c r="T158" s="181"/>
    </row>
    <row r="159" spans="1:20" s="17" customFormat="1" x14ac:dyDescent="0.25">
      <c r="A159" s="17">
        <f t="shared" si="65"/>
        <v>14</v>
      </c>
      <c r="B159"/>
      <c r="C159" t="str">
        <f>$F152</f>
        <v>SHC at Hillcrest</v>
      </c>
      <c r="D159" s="2" t="str">
        <f t="shared" si="62"/>
        <v>T_MGMT_FEE - Tenant Management Fee - Actual</v>
      </c>
      <c r="E159"/>
      <c r="F159" s="24" t="str">
        <f>_xll.EVDES(D159)</f>
        <v>Tenant Management Fee - Actual</v>
      </c>
      <c r="G159" s="19">
        <f ca="1">SUMIFS(OFFSET('BPC Data'!$F:$F,0,Summary!G$2),'BPC Data'!$E:$E,Summary!$D159,'BPC Data'!$B:$B,Summary!$C159)</f>
        <v>59319</v>
      </c>
      <c r="H159" s="183">
        <f ca="1">SUMIFS(OFFSET('BPC Data'!$F:$F,0,Summary!H$2),'BPC Data'!$E:$E,Summary!$D159,'BPC Data'!$B:$B,Summary!$C159)</f>
        <v>56314</v>
      </c>
      <c r="I159" s="19">
        <f ca="1">SUMIFS(OFFSET('BPC Data'!$F:$F,0,Summary!I$2),'BPC Data'!$E:$E,Summary!$D159,'BPC Data'!$B:$B,Summary!$C159)</f>
        <v>54798</v>
      </c>
      <c r="J159" s="183">
        <f ca="1">SUMIFS(OFFSET('BPC Data'!$F:$F,0,Summary!J$2),'BPC Data'!$E:$E,Summary!$D159,'BPC Data'!$B:$B,Summary!$C159)</f>
        <v>71093</v>
      </c>
      <c r="K159" s="19">
        <f ca="1">SUMIFS(OFFSET('BPC Data'!$F:$F,0,Summary!K$2),'BPC Data'!$E:$E,Summary!$D159,'BPC Data'!$B:$B,Summary!$C159)</f>
        <v>45825</v>
      </c>
      <c r="L159" s="183">
        <f ca="1">SUMIFS(OFFSET('BPC Data'!$F:$F,0,Summary!L$2),'BPC Data'!$E:$E,Summary!$D159,'BPC Data'!$B:$B,Summary!$C159)</f>
        <v>46856</v>
      </c>
      <c r="M159" s="19">
        <f ca="1">SUMIFS(OFFSET('BPC Data'!$F:$F,0,Summary!M$2),'BPC Data'!$E:$E,Summary!$D159,'BPC Data'!$B:$B,Summary!$C159)</f>
        <v>66538</v>
      </c>
      <c r="N159" s="183">
        <f ca="1">SUMIFS(OFFSET('BPC Data'!$F:$F,0,Summary!N$2),'BPC Data'!$E:$E,Summary!$D159,'BPC Data'!$B:$B,Summary!$C159)</f>
        <v>56067</v>
      </c>
      <c r="O159" s="19">
        <f ca="1">SUMIFS(OFFSET('BPC Data'!$F:$F,0,Summary!O$2),'BPC Data'!$E:$E,Summary!$D159,'BPC Data'!$B:$B,Summary!$C159)</f>
        <v>58201</v>
      </c>
      <c r="P159" s="183">
        <f ca="1">SUMIFS(OFFSET('BPC Data'!$F:$F,0,Summary!P$2),'BPC Data'!$E:$E,Summary!$D159,'BPC Data'!$B:$B,Summary!$C159)</f>
        <v>54375</v>
      </c>
      <c r="Q159" s="19">
        <f ca="1">SUMIFS(OFFSET('BPC Data'!$F:$F,0,Summary!Q$2),'BPC Data'!$E:$E,Summary!$D159,'BPC Data'!$B:$B,Summary!$C159)</f>
        <v>57694</v>
      </c>
      <c r="R159" s="183">
        <f ca="1">SUMIFS(OFFSET('BPC Data'!$F:$F,0,Summary!R$2),'BPC Data'!$E:$E,Summary!$D159,'BPC Data'!$B:$B,Summary!$C159)</f>
        <v>54858</v>
      </c>
      <c r="S159" s="187">
        <f t="shared" ca="1" si="58"/>
        <v>681938</v>
      </c>
      <c r="T159" s="181"/>
    </row>
    <row r="160" spans="1:20" s="17" customFormat="1" x14ac:dyDescent="0.25">
      <c r="A160" s="17">
        <f t="shared" si="65"/>
        <v>14</v>
      </c>
      <c r="B160"/>
      <c r="C160" t="str">
        <f>$F152</f>
        <v>SHC at Hillcrest</v>
      </c>
      <c r="D160" s="1" t="str">
        <f t="shared" si="62"/>
        <v>T_EBITDAR - EBITDAR</v>
      </c>
      <c r="E160"/>
      <c r="F160" s="24" t="str">
        <f>_xll.EVDES(D160)</f>
        <v>EBITDAR</v>
      </c>
      <c r="G160" s="19">
        <f ca="1">SUMIFS(OFFSET('BPC Data'!$F:$F,0,Summary!G$2),'BPC Data'!$E:$E,Summary!$D160,'BPC Data'!$B:$B,Summary!$C160)</f>
        <v>304751</v>
      </c>
      <c r="H160" s="183">
        <f ca="1">SUMIFS(OFFSET('BPC Data'!$F:$F,0,Summary!H$2),'BPC Data'!$E:$E,Summary!$D160,'BPC Data'!$B:$B,Summary!$C160)</f>
        <v>181084</v>
      </c>
      <c r="I160" s="19">
        <f ca="1">SUMIFS(OFFSET('BPC Data'!$F:$F,0,Summary!I$2),'BPC Data'!$E:$E,Summary!$D160,'BPC Data'!$B:$B,Summary!$C160)</f>
        <v>160802</v>
      </c>
      <c r="J160" s="183">
        <f ca="1">SUMIFS(OFFSET('BPC Data'!$F:$F,0,Summary!J$2),'BPC Data'!$E:$E,Summary!$D160,'BPC Data'!$B:$B,Summary!$C160)</f>
        <v>272473</v>
      </c>
      <c r="K160" s="19">
        <f ca="1">SUMIFS(OFFSET('BPC Data'!$F:$F,0,Summary!K$2),'BPC Data'!$E:$E,Summary!$D160,'BPC Data'!$B:$B,Summary!$C160)</f>
        <v>-43429</v>
      </c>
      <c r="L160" s="183">
        <f ca="1">SUMIFS(OFFSET('BPC Data'!$F:$F,0,Summary!L$2),'BPC Data'!$E:$E,Summary!$D160,'BPC Data'!$B:$B,Summary!$C160)</f>
        <v>163000</v>
      </c>
      <c r="M160" s="19">
        <f ca="1">SUMIFS(OFFSET('BPC Data'!$F:$F,0,Summary!M$2),'BPC Data'!$E:$E,Summary!$D160,'BPC Data'!$B:$B,Summary!$C160)</f>
        <v>366189</v>
      </c>
      <c r="N160" s="183">
        <f ca="1">SUMIFS(OFFSET('BPC Data'!$F:$F,0,Summary!N$2),'BPC Data'!$E:$E,Summary!$D160,'BPC Data'!$B:$B,Summary!$C160)</f>
        <v>210256</v>
      </c>
      <c r="O160" s="19">
        <f ca="1">SUMIFS(OFFSET('BPC Data'!$F:$F,0,Summary!O$2),'BPC Data'!$E:$E,Summary!$D160,'BPC Data'!$B:$B,Summary!$C160)</f>
        <v>292711</v>
      </c>
      <c r="P160" s="183">
        <f ca="1">SUMIFS(OFFSET('BPC Data'!$F:$F,0,Summary!P$2),'BPC Data'!$E:$E,Summary!$D160,'BPC Data'!$B:$B,Summary!$C160)</f>
        <v>187291</v>
      </c>
      <c r="Q160" s="19">
        <f ca="1">SUMIFS(OFFSET('BPC Data'!$F:$F,0,Summary!Q$2),'BPC Data'!$E:$E,Summary!$D160,'BPC Data'!$B:$B,Summary!$C160)</f>
        <v>218155</v>
      </c>
      <c r="R160" s="183">
        <f ca="1">SUMIFS(OFFSET('BPC Data'!$F:$F,0,Summary!R$2),'BPC Data'!$E:$E,Summary!$D160,'BPC Data'!$B:$B,Summary!$C160)</f>
        <v>167386</v>
      </c>
      <c r="S160" s="187">
        <f t="shared" ca="1" si="58"/>
        <v>2480669</v>
      </c>
      <c r="T160" s="181"/>
    </row>
    <row r="161" spans="1:20" s="17" customFormat="1" x14ac:dyDescent="0.25">
      <c r="A161" s="17">
        <f t="shared" si="65"/>
        <v>14</v>
      </c>
      <c r="B161"/>
      <c r="C161" t="str">
        <f>$F152</f>
        <v>SHC at Hillcrest</v>
      </c>
      <c r="D161" s="1" t="str">
        <f t="shared" si="62"/>
        <v>T_RENT_EXP - Tenant Rent Expense</v>
      </c>
      <c r="E161"/>
      <c r="F161" s="24" t="str">
        <f>_xll.EVDES(D161)</f>
        <v>Tenant Rent Expense</v>
      </c>
      <c r="G161" s="19">
        <f ca="1">SUMIFS(OFFSET('BPC Data'!$F:$F,0,Summary!G$2),'BPC Data'!$E:$E,Summary!$D161,'BPC Data'!$B:$B,Summary!$C161)</f>
        <v>276895</v>
      </c>
      <c r="H161" s="183">
        <f ca="1">SUMIFS(OFFSET('BPC Data'!$F:$F,0,Summary!H$2),'BPC Data'!$E:$E,Summary!$D161,'BPC Data'!$B:$B,Summary!$C161)</f>
        <v>276895</v>
      </c>
      <c r="I161" s="19">
        <f ca="1">SUMIFS(OFFSET('BPC Data'!$F:$F,0,Summary!I$2),'BPC Data'!$E:$E,Summary!$D161,'BPC Data'!$B:$B,Summary!$C161)</f>
        <v>276895</v>
      </c>
      <c r="J161" s="183">
        <f ca="1">SUMIFS(OFFSET('BPC Data'!$F:$F,0,Summary!J$2),'BPC Data'!$E:$E,Summary!$D161,'BPC Data'!$B:$B,Summary!$C161)</f>
        <v>283817</v>
      </c>
      <c r="K161" s="19">
        <f ca="1">SUMIFS(OFFSET('BPC Data'!$F:$F,0,Summary!K$2),'BPC Data'!$E:$E,Summary!$D161,'BPC Data'!$B:$B,Summary!$C161)</f>
        <v>283817</v>
      </c>
      <c r="L161" s="183">
        <f ca="1">SUMIFS(OFFSET('BPC Data'!$F:$F,0,Summary!L$2),'BPC Data'!$E:$E,Summary!$D161,'BPC Data'!$B:$B,Summary!$C161)</f>
        <v>283817</v>
      </c>
      <c r="M161" s="19">
        <f ca="1">SUMIFS(OFFSET('BPC Data'!$F:$F,0,Summary!M$2),'BPC Data'!$E:$E,Summary!$D161,'BPC Data'!$B:$B,Summary!$C161)</f>
        <v>283817</v>
      </c>
      <c r="N161" s="183">
        <f ca="1">SUMIFS(OFFSET('BPC Data'!$F:$F,0,Summary!N$2),'BPC Data'!$E:$E,Summary!$D161,'BPC Data'!$B:$B,Summary!$C161)</f>
        <v>283817</v>
      </c>
      <c r="O161" s="19">
        <f ca="1">SUMIFS(OFFSET('BPC Data'!$F:$F,0,Summary!O$2),'BPC Data'!$E:$E,Summary!$D161,'BPC Data'!$B:$B,Summary!$C161)</f>
        <v>283817</v>
      </c>
      <c r="P161" s="183">
        <f ca="1">SUMIFS(OFFSET('BPC Data'!$F:$F,0,Summary!P$2),'BPC Data'!$E:$E,Summary!$D161,'BPC Data'!$B:$B,Summary!$C161)</f>
        <v>283817</v>
      </c>
      <c r="Q161" s="19">
        <f ca="1">SUMIFS(OFFSET('BPC Data'!$F:$F,0,Summary!Q$2),'BPC Data'!$E:$E,Summary!$D161,'BPC Data'!$B:$B,Summary!$C161)</f>
        <v>283817</v>
      </c>
      <c r="R161" s="183">
        <f ca="1">SUMIFS(OFFSET('BPC Data'!$F:$F,0,Summary!R$2),'BPC Data'!$E:$E,Summary!$D161,'BPC Data'!$B:$B,Summary!$C161)</f>
        <v>283817</v>
      </c>
      <c r="S161" s="187">
        <f t="shared" ca="1" si="58"/>
        <v>3385038</v>
      </c>
      <c r="T161" s="181"/>
    </row>
    <row r="162" spans="1:20" s="17" customFormat="1" x14ac:dyDescent="0.25">
      <c r="A162" s="17">
        <f t="shared" si="65"/>
        <v>14</v>
      </c>
      <c r="B162"/>
      <c r="C162"/>
      <c r="D162" s="1" t="str">
        <f t="shared" si="62"/>
        <v>x</v>
      </c>
      <c r="E162"/>
      <c r="F162" s="24" t="s">
        <v>0</v>
      </c>
      <c r="G162" s="12">
        <f ca="1">G160/G161</f>
        <v>1.1006013109662507</v>
      </c>
      <c r="H162" s="184">
        <f t="shared" ref="H162:I162" ca="1" si="66">H160/H161</f>
        <v>0.65398075082612539</v>
      </c>
      <c r="I162" s="12">
        <f t="shared" ca="1" si="66"/>
        <v>0.58073276873905266</v>
      </c>
      <c r="J162" s="184">
        <f t="shared" ref="J162:R162" ca="1" si="67">J160/J161</f>
        <v>0.96003058308698919</v>
      </c>
      <c r="K162" s="12">
        <f t="shared" ca="1" si="67"/>
        <v>-0.15301761346219572</v>
      </c>
      <c r="L162" s="184">
        <f t="shared" ca="1" si="67"/>
        <v>0.57431373032623134</v>
      </c>
      <c r="M162" s="12">
        <f t="shared" ca="1" si="67"/>
        <v>1.2902292674505051</v>
      </c>
      <c r="N162" s="184">
        <f t="shared" ca="1" si="67"/>
        <v>0.74081538456117846</v>
      </c>
      <c r="O162" s="12">
        <f t="shared" ca="1" si="67"/>
        <v>1.0313370939725246</v>
      </c>
      <c r="P162" s="184">
        <f t="shared" ca="1" si="67"/>
        <v>0.65990056973331412</v>
      </c>
      <c r="Q162" s="12">
        <f t="shared" ca="1" si="67"/>
        <v>0.76864669840073008</v>
      </c>
      <c r="R162" s="184">
        <f t="shared" ca="1" si="67"/>
        <v>0.58976735008826109</v>
      </c>
      <c r="S162" s="187">
        <f t="shared" ca="1" si="58"/>
        <v>8.7973378946889671</v>
      </c>
      <c r="T162" s="181"/>
    </row>
    <row r="163" spans="1:20" s="17" customFormat="1" x14ac:dyDescent="0.25">
      <c r="A163" s="17">
        <f>IF(AND(D163&lt;&gt;"",C163=""),A162+1,A162)</f>
        <v>15</v>
      </c>
      <c r="B163" s="5"/>
      <c r="C163" s="5"/>
      <c r="D163" s="5" t="str">
        <f t="shared" si="62"/>
        <v>x</v>
      </c>
      <c r="E163" s="5"/>
      <c r="F163" s="23" t="str">
        <f>INDEX(PropertyList!$D:$D,MATCH(Summary!$A163,PropertyList!$C:$C,0))</f>
        <v>SHC of Elizabethtown</v>
      </c>
      <c r="G163" s="11"/>
      <c r="H163" s="182"/>
      <c r="I163" s="11"/>
      <c r="J163" s="182"/>
      <c r="K163" s="11"/>
      <c r="L163" s="182"/>
      <c r="M163" s="11"/>
      <c r="N163" s="182"/>
      <c r="O163" s="11"/>
      <c r="P163" s="182"/>
      <c r="Q163" s="11"/>
      <c r="R163" s="182"/>
      <c r="S163" s="187">
        <f t="shared" si="58"/>
        <v>0</v>
      </c>
      <c r="T163" s="181"/>
    </row>
    <row r="164" spans="1:20" s="17" customFormat="1" x14ac:dyDescent="0.25">
      <c r="A164" s="17">
        <f>IF(AND(F164&lt;&gt;"",D164=""),A163+1,A163)</f>
        <v>15</v>
      </c>
      <c r="C164" t="str">
        <f>$F163</f>
        <v>SHC of Elizabethtown</v>
      </c>
      <c r="D164" s="3" t="str">
        <f t="shared" si="62"/>
        <v>PAY_PAT_DAYS - Total Payor Patient Days</v>
      </c>
      <c r="F164" s="24" t="str">
        <f>_xll.EVDES(D164)</f>
        <v>Total Payor Patient Days</v>
      </c>
      <c r="G164" s="19">
        <f ca="1">SUMIFS(OFFSET('BPC Data'!$F:$F,0,Summary!G$2),'BPC Data'!$E:$E,Summary!$D164,'BPC Data'!$B:$B,Summary!$C164)</f>
        <v>2394</v>
      </c>
      <c r="H164" s="183">
        <f ca="1">SUMIFS(OFFSET('BPC Data'!$F:$F,0,Summary!H$2),'BPC Data'!$E:$E,Summary!$D164,'BPC Data'!$B:$B,Summary!$C164)</f>
        <v>2498</v>
      </c>
      <c r="I164" s="19">
        <f ca="1">SUMIFS(OFFSET('BPC Data'!$F:$F,0,Summary!I$2),'BPC Data'!$E:$E,Summary!$D164,'BPC Data'!$B:$B,Summary!$C164)</f>
        <v>2166</v>
      </c>
      <c r="J164" s="183">
        <f ca="1">SUMIFS(OFFSET('BPC Data'!$F:$F,0,Summary!J$2),'BPC Data'!$E:$E,Summary!$D164,'BPC Data'!$B:$B,Summary!$C164)</f>
        <v>1858</v>
      </c>
      <c r="K164" s="19">
        <f ca="1">SUMIFS(OFFSET('BPC Data'!$F:$F,0,Summary!K$2),'BPC Data'!$E:$E,Summary!$D164,'BPC Data'!$B:$B,Summary!$C164)</f>
        <v>2003</v>
      </c>
      <c r="L164" s="183">
        <f ca="1">SUMIFS(OFFSET('BPC Data'!$F:$F,0,Summary!L$2),'BPC Data'!$E:$E,Summary!$D164,'BPC Data'!$B:$B,Summary!$C164)</f>
        <v>1980</v>
      </c>
      <c r="M164" s="19">
        <f ca="1">SUMIFS(OFFSET('BPC Data'!$F:$F,0,Summary!M$2),'BPC Data'!$E:$E,Summary!$D164,'BPC Data'!$B:$B,Summary!$C164)</f>
        <v>2394</v>
      </c>
      <c r="N164" s="183">
        <f ca="1">SUMIFS(OFFSET('BPC Data'!$F:$F,0,Summary!N$2),'BPC Data'!$E:$E,Summary!$D164,'BPC Data'!$B:$B,Summary!$C164)</f>
        <v>2381</v>
      </c>
      <c r="O164" s="19">
        <f ca="1">SUMIFS(OFFSET('BPC Data'!$F:$F,0,Summary!O$2),'BPC Data'!$E:$E,Summary!$D164,'BPC Data'!$B:$B,Summary!$C164)</f>
        <v>2458</v>
      </c>
      <c r="P164" s="183">
        <f ca="1">SUMIFS(OFFSET('BPC Data'!$F:$F,0,Summary!P$2),'BPC Data'!$E:$E,Summary!$D164,'BPC Data'!$B:$B,Summary!$C164)</f>
        <v>2444</v>
      </c>
      <c r="Q164" s="19">
        <f ca="1">SUMIFS(OFFSET('BPC Data'!$F:$F,0,Summary!Q$2),'BPC Data'!$E:$E,Summary!$D164,'BPC Data'!$B:$B,Summary!$C164)</f>
        <v>2559</v>
      </c>
      <c r="R164" s="183">
        <f ca="1">SUMIFS(OFFSET('BPC Data'!$F:$F,0,Summary!R$2),'BPC Data'!$E:$E,Summary!$D164,'BPC Data'!$B:$B,Summary!$C164)</f>
        <v>2594</v>
      </c>
      <c r="S164" s="187">
        <f t="shared" ca="1" si="58"/>
        <v>27729</v>
      </c>
      <c r="T164" s="181"/>
    </row>
    <row r="165" spans="1:20" s="17" customFormat="1" x14ac:dyDescent="0.25">
      <c r="A165" s="17">
        <f t="shared" ref="A165:A173" si="68">IF(AND(F165&lt;&gt;"",D165=""),A164+1,A164)</f>
        <v>15</v>
      </c>
      <c r="C165" t="str">
        <f>$F163</f>
        <v>SHC of Elizabethtown</v>
      </c>
      <c r="D165" s="3" t="str">
        <f t="shared" si="62"/>
        <v>A_BEDS_TOTAL - Total Available Beds</v>
      </c>
      <c r="F165" s="24" t="str">
        <f>_xll.EVDES(D165)</f>
        <v>Total Available Beds</v>
      </c>
      <c r="G165" s="19">
        <f ca="1">SUMIFS(OFFSET('BPC Data'!$F:$F,0,Summary!G$2),'BPC Data'!$E:$E,Summary!$D165,'BPC Data'!$B:$B,Summary!$C165)</f>
        <v>104</v>
      </c>
      <c r="H165" s="183">
        <f ca="1">SUMIFS(OFFSET('BPC Data'!$F:$F,0,Summary!H$2),'BPC Data'!$E:$E,Summary!$D165,'BPC Data'!$B:$B,Summary!$C165)</f>
        <v>104</v>
      </c>
      <c r="I165" s="19">
        <f ca="1">SUMIFS(OFFSET('BPC Data'!$F:$F,0,Summary!I$2),'BPC Data'!$E:$E,Summary!$D165,'BPC Data'!$B:$B,Summary!$C165)</f>
        <v>104</v>
      </c>
      <c r="J165" s="183">
        <f ca="1">SUMIFS(OFFSET('BPC Data'!$F:$F,0,Summary!J$2),'BPC Data'!$E:$E,Summary!$D165,'BPC Data'!$B:$B,Summary!$C165)</f>
        <v>104</v>
      </c>
      <c r="K165" s="19">
        <f ca="1">SUMIFS(OFFSET('BPC Data'!$F:$F,0,Summary!K$2),'BPC Data'!$E:$E,Summary!$D165,'BPC Data'!$B:$B,Summary!$C165)</f>
        <v>104</v>
      </c>
      <c r="L165" s="183">
        <f ca="1">SUMIFS(OFFSET('BPC Data'!$F:$F,0,Summary!L$2),'BPC Data'!$E:$E,Summary!$D165,'BPC Data'!$B:$B,Summary!$C165)</f>
        <v>104</v>
      </c>
      <c r="M165" s="19">
        <f ca="1">SUMIFS(OFFSET('BPC Data'!$F:$F,0,Summary!M$2),'BPC Data'!$E:$E,Summary!$D165,'BPC Data'!$B:$B,Summary!$C165)</f>
        <v>104</v>
      </c>
      <c r="N165" s="183">
        <f ca="1">SUMIFS(OFFSET('BPC Data'!$F:$F,0,Summary!N$2),'BPC Data'!$E:$E,Summary!$D165,'BPC Data'!$B:$B,Summary!$C165)</f>
        <v>104</v>
      </c>
      <c r="O165" s="19">
        <f ca="1">SUMIFS(OFFSET('BPC Data'!$F:$F,0,Summary!O$2),'BPC Data'!$E:$E,Summary!$D165,'BPC Data'!$B:$B,Summary!$C165)</f>
        <v>104</v>
      </c>
      <c r="P165" s="183">
        <f ca="1">SUMIFS(OFFSET('BPC Data'!$F:$F,0,Summary!P$2),'BPC Data'!$E:$E,Summary!$D165,'BPC Data'!$B:$B,Summary!$C165)</f>
        <v>104</v>
      </c>
      <c r="Q165" s="19">
        <f ca="1">SUMIFS(OFFSET('BPC Data'!$F:$F,0,Summary!Q$2),'BPC Data'!$E:$E,Summary!$D165,'BPC Data'!$B:$B,Summary!$C165)</f>
        <v>104</v>
      </c>
      <c r="R165" s="183">
        <f ca="1">SUMIFS(OFFSET('BPC Data'!$F:$F,0,Summary!R$2),'BPC Data'!$E:$E,Summary!$D165,'BPC Data'!$B:$B,Summary!$C165)</f>
        <v>104</v>
      </c>
      <c r="S165" s="187">
        <f ca="1">R165</f>
        <v>104</v>
      </c>
      <c r="T165" s="181"/>
    </row>
    <row r="166" spans="1:20" s="17" customFormat="1" x14ac:dyDescent="0.25">
      <c r="A166" s="17">
        <f t="shared" si="68"/>
        <v>15</v>
      </c>
      <c r="B166"/>
      <c r="C166" t="str">
        <f>$F163</f>
        <v>SHC of Elizabethtown</v>
      </c>
      <c r="D166" s="3" t="str">
        <f t="shared" si="62"/>
        <v>T_REVENUES - Total Tenant Revenues</v>
      </c>
      <c r="E166"/>
      <c r="F166" s="24" t="str">
        <f>_xll.EVDES(D166)</f>
        <v>Total Tenant Revenues</v>
      </c>
      <c r="G166" s="19">
        <f ca="1">SUMIFS(OFFSET('BPC Data'!$F:$F,0,Summary!G$2),'BPC Data'!$E:$E,Summary!$D166,'BPC Data'!$B:$B,Summary!$C166)</f>
        <v>670138</v>
      </c>
      <c r="H166" s="183">
        <f ca="1">SUMIFS(OFFSET('BPC Data'!$F:$F,0,Summary!H$2),'BPC Data'!$E:$E,Summary!$D166,'BPC Data'!$B:$B,Summary!$C166)</f>
        <v>720484</v>
      </c>
      <c r="I166" s="19">
        <f ca="1">SUMIFS(OFFSET('BPC Data'!$F:$F,0,Summary!I$2),'BPC Data'!$E:$E,Summary!$D166,'BPC Data'!$B:$B,Summary!$C166)</f>
        <v>732006</v>
      </c>
      <c r="J166" s="183">
        <f ca="1">SUMIFS(OFFSET('BPC Data'!$F:$F,0,Summary!J$2),'BPC Data'!$E:$E,Summary!$D166,'BPC Data'!$B:$B,Summary!$C166)</f>
        <v>638835</v>
      </c>
      <c r="K166" s="19">
        <f ca="1">SUMIFS(OFFSET('BPC Data'!$F:$F,0,Summary!K$2),'BPC Data'!$E:$E,Summary!$D166,'BPC Data'!$B:$B,Summary!$C166)</f>
        <v>625783</v>
      </c>
      <c r="L166" s="183">
        <f ca="1">SUMIFS(OFFSET('BPC Data'!$F:$F,0,Summary!L$2),'BPC Data'!$E:$E,Summary!$D166,'BPC Data'!$B:$B,Summary!$C166)</f>
        <v>608655</v>
      </c>
      <c r="M166" s="19">
        <f ca="1">SUMIFS(OFFSET('BPC Data'!$F:$F,0,Summary!M$2),'BPC Data'!$E:$E,Summary!$D166,'BPC Data'!$B:$B,Summary!$C166)</f>
        <v>758974</v>
      </c>
      <c r="N166" s="183">
        <f ca="1">SUMIFS(OFFSET('BPC Data'!$F:$F,0,Summary!N$2),'BPC Data'!$E:$E,Summary!$D166,'BPC Data'!$B:$B,Summary!$C166)</f>
        <v>691858</v>
      </c>
      <c r="O166" s="19">
        <f ca="1">SUMIFS(OFFSET('BPC Data'!$F:$F,0,Summary!O$2),'BPC Data'!$E:$E,Summary!$D166,'BPC Data'!$B:$B,Summary!$C166)</f>
        <v>765456</v>
      </c>
      <c r="P166" s="183">
        <f ca="1">SUMIFS(OFFSET('BPC Data'!$F:$F,0,Summary!P$2),'BPC Data'!$E:$E,Summary!$D166,'BPC Data'!$B:$B,Summary!$C166)</f>
        <v>734079</v>
      </c>
      <c r="Q166" s="19">
        <f ca="1">SUMIFS(OFFSET('BPC Data'!$F:$F,0,Summary!Q$2),'BPC Data'!$E:$E,Summary!$D166,'BPC Data'!$B:$B,Summary!$C166)</f>
        <v>752007</v>
      </c>
      <c r="R166" s="183">
        <f ca="1">SUMIFS(OFFSET('BPC Data'!$F:$F,0,Summary!R$2),'BPC Data'!$E:$E,Summary!$D166,'BPC Data'!$B:$B,Summary!$C166)</f>
        <v>790009</v>
      </c>
      <c r="S166" s="187">
        <f t="shared" ca="1" si="58"/>
        <v>8488284</v>
      </c>
      <c r="T166" s="181"/>
    </row>
    <row r="167" spans="1:20" s="17" customFormat="1" x14ac:dyDescent="0.25">
      <c r="A167" s="17">
        <f t="shared" si="68"/>
        <v>15</v>
      </c>
      <c r="B167"/>
      <c r="C167" t="str">
        <f>$F163</f>
        <v>SHC of Elizabethtown</v>
      </c>
      <c r="D167" s="3" t="str">
        <f t="shared" si="62"/>
        <v>T_OPEX - Tenant Operating Expenses</v>
      </c>
      <c r="E167"/>
      <c r="F167" s="24" t="str">
        <f>_xll.EVDES(D167)</f>
        <v>Tenant Operating Expenses</v>
      </c>
      <c r="G167" s="19">
        <f ca="1">SUMIFS(OFFSET('BPC Data'!$F:$F,0,Summary!G$2),'BPC Data'!$E:$E,Summary!$D167,'BPC Data'!$B:$B,Summary!$C167)</f>
        <v>585873</v>
      </c>
      <c r="H167" s="183">
        <f ca="1">SUMIFS(OFFSET('BPC Data'!$F:$F,0,Summary!H$2),'BPC Data'!$E:$E,Summary!$D167,'BPC Data'!$B:$B,Summary!$C167)</f>
        <v>587027</v>
      </c>
      <c r="I167" s="19">
        <f ca="1">SUMIFS(OFFSET('BPC Data'!$F:$F,0,Summary!I$2),'BPC Data'!$E:$E,Summary!$D167,'BPC Data'!$B:$B,Summary!$C167)</f>
        <v>597042</v>
      </c>
      <c r="J167" s="183">
        <f ca="1">SUMIFS(OFFSET('BPC Data'!$F:$F,0,Summary!J$2),'BPC Data'!$E:$E,Summary!$D167,'BPC Data'!$B:$B,Summary!$C167)</f>
        <v>714553</v>
      </c>
      <c r="K167" s="19">
        <f ca="1">SUMIFS(OFFSET('BPC Data'!$F:$F,0,Summary!K$2),'BPC Data'!$E:$E,Summary!$D167,'BPC Data'!$B:$B,Summary!$C167)</f>
        <v>556367</v>
      </c>
      <c r="L167" s="183">
        <f ca="1">SUMIFS(OFFSET('BPC Data'!$F:$F,0,Summary!L$2),'BPC Data'!$E:$E,Summary!$D167,'BPC Data'!$B:$B,Summary!$C167)</f>
        <v>523689</v>
      </c>
      <c r="M167" s="19">
        <f ca="1">SUMIFS(OFFSET('BPC Data'!$F:$F,0,Summary!M$2),'BPC Data'!$E:$E,Summary!$D167,'BPC Data'!$B:$B,Summary!$C167)</f>
        <v>579068</v>
      </c>
      <c r="N167" s="183">
        <f ca="1">SUMIFS(OFFSET('BPC Data'!$F:$F,0,Summary!N$2),'BPC Data'!$E:$E,Summary!$D167,'BPC Data'!$B:$B,Summary!$C167)</f>
        <v>542987</v>
      </c>
      <c r="O167" s="19">
        <f ca="1">SUMIFS(OFFSET('BPC Data'!$F:$F,0,Summary!O$2),'BPC Data'!$E:$E,Summary!$D167,'BPC Data'!$B:$B,Summary!$C167)</f>
        <v>568740</v>
      </c>
      <c r="P167" s="183">
        <f ca="1">SUMIFS(OFFSET('BPC Data'!$F:$F,0,Summary!P$2),'BPC Data'!$E:$E,Summary!$D167,'BPC Data'!$B:$B,Summary!$C167)</f>
        <v>589867</v>
      </c>
      <c r="Q167" s="19">
        <f ca="1">SUMIFS(OFFSET('BPC Data'!$F:$F,0,Summary!Q$2),'BPC Data'!$E:$E,Summary!$D167,'BPC Data'!$B:$B,Summary!$C167)</f>
        <v>536786</v>
      </c>
      <c r="R167" s="183">
        <f ca="1">SUMIFS(OFFSET('BPC Data'!$F:$F,0,Summary!R$2),'BPC Data'!$E:$E,Summary!$D167,'BPC Data'!$B:$B,Summary!$C167)</f>
        <v>571040</v>
      </c>
      <c r="S167" s="187">
        <f t="shared" ca="1" si="58"/>
        <v>6953039</v>
      </c>
      <c r="T167" s="181"/>
    </row>
    <row r="168" spans="1:20" s="17" customFormat="1" x14ac:dyDescent="0.25">
      <c r="A168" s="17">
        <f t="shared" si="68"/>
        <v>15</v>
      </c>
      <c r="B168"/>
      <c r="C168" t="str">
        <f>$F163</f>
        <v>SHC of Elizabethtown</v>
      </c>
      <c r="D168" s="3" t="str">
        <f t="shared" si="62"/>
        <v>T_BAD_DEBT - Tenant Bad Debt Expense</v>
      </c>
      <c r="E168"/>
      <c r="F168" s="24" t="str">
        <f>_xll.EVDES(D168)</f>
        <v>Tenant Bad Debt Expense</v>
      </c>
      <c r="G168" s="19">
        <f ca="1">SUMIFS(OFFSET('BPC Data'!$F:$F,0,Summary!G$2),'BPC Data'!$E:$E,Summary!$D168,'BPC Data'!$B:$B,Summary!$C168)</f>
        <v>7500</v>
      </c>
      <c r="H168" s="183">
        <f ca="1">SUMIFS(OFFSET('BPC Data'!$F:$F,0,Summary!H$2),'BPC Data'!$E:$E,Summary!$D168,'BPC Data'!$B:$B,Summary!$C168)</f>
        <v>5726</v>
      </c>
      <c r="I168" s="19">
        <f ca="1">SUMIFS(OFFSET('BPC Data'!$F:$F,0,Summary!I$2),'BPC Data'!$E:$E,Summary!$D168,'BPC Data'!$B:$B,Summary!$C168)</f>
        <v>2500</v>
      </c>
      <c r="J168" s="183">
        <f ca="1">SUMIFS(OFFSET('BPC Data'!$F:$F,0,Summary!J$2),'BPC Data'!$E:$E,Summary!$D168,'BPC Data'!$B:$B,Summary!$C168)</f>
        <v>15600</v>
      </c>
      <c r="K168" s="19">
        <f ca="1">SUMIFS(OFFSET('BPC Data'!$F:$F,0,Summary!K$2),'BPC Data'!$E:$E,Summary!$D168,'BPC Data'!$B:$B,Summary!$C168)</f>
        <v>7500</v>
      </c>
      <c r="L168" s="183">
        <f ca="1">SUMIFS(OFFSET('BPC Data'!$F:$F,0,Summary!L$2),'BPC Data'!$E:$E,Summary!$D168,'BPC Data'!$B:$B,Summary!$C168)</f>
        <v>7500</v>
      </c>
      <c r="M168" s="19">
        <f ca="1">SUMIFS(OFFSET('BPC Data'!$F:$F,0,Summary!M$2),'BPC Data'!$E:$E,Summary!$D168,'BPC Data'!$B:$B,Summary!$C168)</f>
        <v>0</v>
      </c>
      <c r="N168" s="183">
        <f ca="1">SUMIFS(OFFSET('BPC Data'!$F:$F,0,Summary!N$2),'BPC Data'!$E:$E,Summary!$D168,'BPC Data'!$B:$B,Summary!$C168)</f>
        <v>0</v>
      </c>
      <c r="O168" s="19">
        <f ca="1">SUMIFS(OFFSET('BPC Data'!$F:$F,0,Summary!O$2),'BPC Data'!$E:$E,Summary!$D168,'BPC Data'!$B:$B,Summary!$C168)</f>
        <v>0</v>
      </c>
      <c r="P168" s="183">
        <f ca="1">SUMIFS(OFFSET('BPC Data'!$F:$F,0,Summary!P$2),'BPC Data'!$E:$E,Summary!$D168,'BPC Data'!$B:$B,Summary!$C168)</f>
        <v>0</v>
      </c>
      <c r="Q168" s="19">
        <f ca="1">SUMIFS(OFFSET('BPC Data'!$F:$F,0,Summary!Q$2),'BPC Data'!$E:$E,Summary!$D168,'BPC Data'!$B:$B,Summary!$C168)</f>
        <v>0</v>
      </c>
      <c r="R168" s="183">
        <f ca="1">SUMIFS(OFFSET('BPC Data'!$F:$F,0,Summary!R$2),'BPC Data'!$E:$E,Summary!$D168,'BPC Data'!$B:$B,Summary!$C168)</f>
        <v>5000</v>
      </c>
      <c r="S168" s="187">
        <f t="shared" ca="1" si="58"/>
        <v>51326</v>
      </c>
      <c r="T168" s="181"/>
    </row>
    <row r="169" spans="1:20" s="17" customFormat="1" x14ac:dyDescent="0.25">
      <c r="A169" s="17">
        <f t="shared" si="68"/>
        <v>15</v>
      </c>
      <c r="B169"/>
      <c r="C169" t="str">
        <f>$F163</f>
        <v>SHC of Elizabethtown</v>
      </c>
      <c r="D169" s="2" t="str">
        <f t="shared" si="62"/>
        <v>T_EBITDARM - EBITDARM</v>
      </c>
      <c r="E169"/>
      <c r="F169" s="24" t="str">
        <f>_xll.EVDES(D169)</f>
        <v>EBITDARM</v>
      </c>
      <c r="G169" s="19">
        <f ca="1">SUMIFS(OFFSET('BPC Data'!$F:$F,0,Summary!G$2),'BPC Data'!$E:$E,Summary!$D169,'BPC Data'!$B:$B,Summary!$C169)</f>
        <v>84265</v>
      </c>
      <c r="H169" s="183">
        <f ca="1">SUMIFS(OFFSET('BPC Data'!$F:$F,0,Summary!H$2),'BPC Data'!$E:$E,Summary!$D169,'BPC Data'!$B:$B,Summary!$C169)</f>
        <v>133457</v>
      </c>
      <c r="I169" s="19">
        <f ca="1">SUMIFS(OFFSET('BPC Data'!$F:$F,0,Summary!I$2),'BPC Data'!$E:$E,Summary!$D169,'BPC Data'!$B:$B,Summary!$C169)</f>
        <v>134964</v>
      </c>
      <c r="J169" s="183">
        <f ca="1">SUMIFS(OFFSET('BPC Data'!$F:$F,0,Summary!J$2),'BPC Data'!$E:$E,Summary!$D169,'BPC Data'!$B:$B,Summary!$C169)</f>
        <v>-75718</v>
      </c>
      <c r="K169" s="19">
        <f ca="1">SUMIFS(OFFSET('BPC Data'!$F:$F,0,Summary!K$2),'BPC Data'!$E:$E,Summary!$D169,'BPC Data'!$B:$B,Summary!$C169)</f>
        <v>69416</v>
      </c>
      <c r="L169" s="183">
        <f ca="1">SUMIFS(OFFSET('BPC Data'!$F:$F,0,Summary!L$2),'BPC Data'!$E:$E,Summary!$D169,'BPC Data'!$B:$B,Summary!$C169)</f>
        <v>84966</v>
      </c>
      <c r="M169" s="19">
        <f ca="1">SUMIFS(OFFSET('BPC Data'!$F:$F,0,Summary!M$2),'BPC Data'!$E:$E,Summary!$D169,'BPC Data'!$B:$B,Summary!$C169)</f>
        <v>179906</v>
      </c>
      <c r="N169" s="183">
        <f ca="1">SUMIFS(OFFSET('BPC Data'!$F:$F,0,Summary!N$2),'BPC Data'!$E:$E,Summary!$D169,'BPC Data'!$B:$B,Summary!$C169)</f>
        <v>148871</v>
      </c>
      <c r="O169" s="19">
        <f ca="1">SUMIFS(OFFSET('BPC Data'!$F:$F,0,Summary!O$2),'BPC Data'!$E:$E,Summary!$D169,'BPC Data'!$B:$B,Summary!$C169)</f>
        <v>196716</v>
      </c>
      <c r="P169" s="183">
        <f ca="1">SUMIFS(OFFSET('BPC Data'!$F:$F,0,Summary!P$2),'BPC Data'!$E:$E,Summary!$D169,'BPC Data'!$B:$B,Summary!$C169)</f>
        <v>144212</v>
      </c>
      <c r="Q169" s="19">
        <f ca="1">SUMIFS(OFFSET('BPC Data'!$F:$F,0,Summary!Q$2),'BPC Data'!$E:$E,Summary!$D169,'BPC Data'!$B:$B,Summary!$C169)</f>
        <v>215221</v>
      </c>
      <c r="R169" s="183">
        <f ca="1">SUMIFS(OFFSET('BPC Data'!$F:$F,0,Summary!R$2),'BPC Data'!$E:$E,Summary!$D169,'BPC Data'!$B:$B,Summary!$C169)</f>
        <v>218969</v>
      </c>
      <c r="S169" s="187">
        <f t="shared" ca="1" si="58"/>
        <v>1535245</v>
      </c>
      <c r="T169" s="181"/>
    </row>
    <row r="170" spans="1:20" s="17" customFormat="1" x14ac:dyDescent="0.25">
      <c r="A170" s="17">
        <f t="shared" si="68"/>
        <v>15</v>
      </c>
      <c r="B170"/>
      <c r="C170" t="str">
        <f>$F163</f>
        <v>SHC of Elizabethtown</v>
      </c>
      <c r="D170" s="2" t="str">
        <f t="shared" si="62"/>
        <v>T_MGMT_FEE - Tenant Management Fee - Actual</v>
      </c>
      <c r="E170"/>
      <c r="F170" s="24" t="str">
        <f>_xll.EVDES(D170)</f>
        <v>Tenant Management Fee - Actual</v>
      </c>
      <c r="G170" s="19">
        <f ca="1">SUMIFS(OFFSET('BPC Data'!$F:$F,0,Summary!G$2),'BPC Data'!$E:$E,Summary!$D170,'BPC Data'!$B:$B,Summary!$C170)</f>
        <v>33842</v>
      </c>
      <c r="H170" s="183">
        <f ca="1">SUMIFS(OFFSET('BPC Data'!$F:$F,0,Summary!H$2),'BPC Data'!$E:$E,Summary!$D170,'BPC Data'!$B:$B,Summary!$C170)</f>
        <v>36384</v>
      </c>
      <c r="I170" s="19">
        <f ca="1">SUMIFS(OFFSET('BPC Data'!$F:$F,0,Summary!I$2),'BPC Data'!$E:$E,Summary!$D170,'BPC Data'!$B:$B,Summary!$C170)</f>
        <v>36966</v>
      </c>
      <c r="J170" s="183">
        <f ca="1">SUMIFS(OFFSET('BPC Data'!$F:$F,0,Summary!J$2),'BPC Data'!$E:$E,Summary!$D170,'BPC Data'!$B:$B,Summary!$C170)</f>
        <v>24529</v>
      </c>
      <c r="K170" s="19">
        <f ca="1">SUMIFS(OFFSET('BPC Data'!$F:$F,0,Summary!K$2),'BPC Data'!$E:$E,Summary!$D170,'BPC Data'!$B:$B,Summary!$C170)</f>
        <v>31623</v>
      </c>
      <c r="L170" s="183">
        <f ca="1">SUMIFS(OFFSET('BPC Data'!$F:$F,0,Summary!L$2),'BPC Data'!$E:$E,Summary!$D170,'BPC Data'!$B:$B,Summary!$C170)</f>
        <v>30737</v>
      </c>
      <c r="M170" s="19">
        <f ca="1">SUMIFS(OFFSET('BPC Data'!$F:$F,0,Summary!M$2),'BPC Data'!$E:$E,Summary!$D170,'BPC Data'!$B:$B,Summary!$C170)</f>
        <v>38328</v>
      </c>
      <c r="N170" s="183">
        <f ca="1">SUMIFS(OFFSET('BPC Data'!$F:$F,0,Summary!N$2),'BPC Data'!$E:$E,Summary!$D170,'BPC Data'!$B:$B,Summary!$C170)</f>
        <v>34939</v>
      </c>
      <c r="O170" s="19">
        <f ca="1">SUMIFS(OFFSET('BPC Data'!$F:$F,0,Summary!O$2),'BPC Data'!$E:$E,Summary!$D170,'BPC Data'!$B:$B,Summary!$C170)</f>
        <v>38656</v>
      </c>
      <c r="P170" s="183">
        <f ca="1">SUMIFS(OFFSET('BPC Data'!$F:$F,0,Summary!P$2),'BPC Data'!$E:$E,Summary!$D170,'BPC Data'!$B:$B,Summary!$C170)</f>
        <v>37071</v>
      </c>
      <c r="Q170" s="19">
        <f ca="1">SUMIFS(OFFSET('BPC Data'!$F:$F,0,Summary!Q$2),'BPC Data'!$E:$E,Summary!$D170,'BPC Data'!$B:$B,Summary!$C170)</f>
        <v>37976</v>
      </c>
      <c r="R170" s="183">
        <f ca="1">SUMIFS(OFFSET('BPC Data'!$F:$F,0,Summary!R$2),'BPC Data'!$E:$E,Summary!$D170,'BPC Data'!$B:$B,Summary!$C170)</f>
        <v>39896</v>
      </c>
      <c r="S170" s="187">
        <f t="shared" ca="1" si="58"/>
        <v>420947</v>
      </c>
      <c r="T170" s="181"/>
    </row>
    <row r="171" spans="1:20" s="17" customFormat="1" x14ac:dyDescent="0.25">
      <c r="A171" s="17">
        <f t="shared" si="68"/>
        <v>15</v>
      </c>
      <c r="B171"/>
      <c r="C171" t="str">
        <f>$F163</f>
        <v>SHC of Elizabethtown</v>
      </c>
      <c r="D171" s="1" t="str">
        <f t="shared" si="62"/>
        <v>T_EBITDAR - EBITDAR</v>
      </c>
      <c r="E171"/>
      <c r="F171" s="24" t="str">
        <f>_xll.EVDES(D171)</f>
        <v>EBITDAR</v>
      </c>
      <c r="G171" s="19">
        <f ca="1">SUMIFS(OFFSET('BPC Data'!$F:$F,0,Summary!G$2),'BPC Data'!$E:$E,Summary!$D171,'BPC Data'!$B:$B,Summary!$C171)</f>
        <v>50423</v>
      </c>
      <c r="H171" s="183">
        <f ca="1">SUMIFS(OFFSET('BPC Data'!$F:$F,0,Summary!H$2),'BPC Data'!$E:$E,Summary!$D171,'BPC Data'!$B:$B,Summary!$C171)</f>
        <v>97073</v>
      </c>
      <c r="I171" s="19">
        <f ca="1">SUMIFS(OFFSET('BPC Data'!$F:$F,0,Summary!I$2),'BPC Data'!$E:$E,Summary!$D171,'BPC Data'!$B:$B,Summary!$C171)</f>
        <v>97998</v>
      </c>
      <c r="J171" s="183">
        <f ca="1">SUMIFS(OFFSET('BPC Data'!$F:$F,0,Summary!J$2),'BPC Data'!$E:$E,Summary!$D171,'BPC Data'!$B:$B,Summary!$C171)</f>
        <v>-100247</v>
      </c>
      <c r="K171" s="19">
        <f ca="1">SUMIFS(OFFSET('BPC Data'!$F:$F,0,Summary!K$2),'BPC Data'!$E:$E,Summary!$D171,'BPC Data'!$B:$B,Summary!$C171)</f>
        <v>37793</v>
      </c>
      <c r="L171" s="183">
        <f ca="1">SUMIFS(OFFSET('BPC Data'!$F:$F,0,Summary!L$2),'BPC Data'!$E:$E,Summary!$D171,'BPC Data'!$B:$B,Summary!$C171)</f>
        <v>54229</v>
      </c>
      <c r="M171" s="19">
        <f ca="1">SUMIFS(OFFSET('BPC Data'!$F:$F,0,Summary!M$2),'BPC Data'!$E:$E,Summary!$D171,'BPC Data'!$B:$B,Summary!$C171)</f>
        <v>141578</v>
      </c>
      <c r="N171" s="183">
        <f ca="1">SUMIFS(OFFSET('BPC Data'!$F:$F,0,Summary!N$2),'BPC Data'!$E:$E,Summary!$D171,'BPC Data'!$B:$B,Summary!$C171)</f>
        <v>113932</v>
      </c>
      <c r="O171" s="19">
        <f ca="1">SUMIFS(OFFSET('BPC Data'!$F:$F,0,Summary!O$2),'BPC Data'!$E:$E,Summary!$D171,'BPC Data'!$B:$B,Summary!$C171)</f>
        <v>158060</v>
      </c>
      <c r="P171" s="183">
        <f ca="1">SUMIFS(OFFSET('BPC Data'!$F:$F,0,Summary!P$2),'BPC Data'!$E:$E,Summary!$D171,'BPC Data'!$B:$B,Summary!$C171)</f>
        <v>107141</v>
      </c>
      <c r="Q171" s="19">
        <f ca="1">SUMIFS(OFFSET('BPC Data'!$F:$F,0,Summary!Q$2),'BPC Data'!$E:$E,Summary!$D171,'BPC Data'!$B:$B,Summary!$C171)</f>
        <v>177245</v>
      </c>
      <c r="R171" s="183">
        <f ca="1">SUMIFS(OFFSET('BPC Data'!$F:$F,0,Summary!R$2),'BPC Data'!$E:$E,Summary!$D171,'BPC Data'!$B:$B,Summary!$C171)</f>
        <v>179073</v>
      </c>
      <c r="S171" s="187">
        <f t="shared" ca="1" si="58"/>
        <v>1114298</v>
      </c>
      <c r="T171" s="181"/>
    </row>
    <row r="172" spans="1:20" s="17" customFormat="1" x14ac:dyDescent="0.25">
      <c r="A172" s="17">
        <f t="shared" si="68"/>
        <v>15</v>
      </c>
      <c r="B172"/>
      <c r="C172" t="str">
        <f>$F163</f>
        <v>SHC of Elizabethtown</v>
      </c>
      <c r="D172" s="1" t="str">
        <f t="shared" si="62"/>
        <v>T_RENT_EXP - Tenant Rent Expense</v>
      </c>
      <c r="E172"/>
      <c r="F172" s="24" t="str">
        <f>_xll.EVDES(D172)</f>
        <v>Tenant Rent Expense</v>
      </c>
      <c r="G172" s="19">
        <f ca="1">SUMIFS(OFFSET('BPC Data'!$F:$F,0,Summary!G$2),'BPC Data'!$E:$E,Summary!$D172,'BPC Data'!$B:$B,Summary!$C172)</f>
        <v>7352</v>
      </c>
      <c r="H172" s="183">
        <f ca="1">SUMIFS(OFFSET('BPC Data'!$F:$F,0,Summary!H$2),'BPC Data'!$E:$E,Summary!$D172,'BPC Data'!$B:$B,Summary!$C172)</f>
        <v>7352</v>
      </c>
      <c r="I172" s="19">
        <f ca="1">SUMIFS(OFFSET('BPC Data'!$F:$F,0,Summary!I$2),'BPC Data'!$E:$E,Summary!$D172,'BPC Data'!$B:$B,Summary!$C172)</f>
        <v>7352</v>
      </c>
      <c r="J172" s="183">
        <f ca="1">SUMIFS(OFFSET('BPC Data'!$F:$F,0,Summary!J$2),'BPC Data'!$E:$E,Summary!$D172,'BPC Data'!$B:$B,Summary!$C172)</f>
        <v>7535</v>
      </c>
      <c r="K172" s="19">
        <f ca="1">SUMIFS(OFFSET('BPC Data'!$F:$F,0,Summary!K$2),'BPC Data'!$E:$E,Summary!$D172,'BPC Data'!$B:$B,Summary!$C172)</f>
        <v>7535</v>
      </c>
      <c r="L172" s="183">
        <f ca="1">SUMIFS(OFFSET('BPC Data'!$F:$F,0,Summary!L$2),'BPC Data'!$E:$E,Summary!$D172,'BPC Data'!$B:$B,Summary!$C172)</f>
        <v>7535</v>
      </c>
      <c r="M172" s="19">
        <f ca="1">SUMIFS(OFFSET('BPC Data'!$F:$F,0,Summary!M$2),'BPC Data'!$E:$E,Summary!$D172,'BPC Data'!$B:$B,Summary!$C172)</f>
        <v>7535</v>
      </c>
      <c r="N172" s="183">
        <f ca="1">SUMIFS(OFFSET('BPC Data'!$F:$F,0,Summary!N$2),'BPC Data'!$E:$E,Summary!$D172,'BPC Data'!$B:$B,Summary!$C172)</f>
        <v>7535</v>
      </c>
      <c r="O172" s="19">
        <f ca="1">SUMIFS(OFFSET('BPC Data'!$F:$F,0,Summary!O$2),'BPC Data'!$E:$E,Summary!$D172,'BPC Data'!$B:$B,Summary!$C172)</f>
        <v>7535</v>
      </c>
      <c r="P172" s="183">
        <f ca="1">SUMIFS(OFFSET('BPC Data'!$F:$F,0,Summary!P$2),'BPC Data'!$E:$E,Summary!$D172,'BPC Data'!$B:$B,Summary!$C172)</f>
        <v>7535</v>
      </c>
      <c r="Q172" s="19">
        <f ca="1">SUMIFS(OFFSET('BPC Data'!$F:$F,0,Summary!Q$2),'BPC Data'!$E:$E,Summary!$D172,'BPC Data'!$B:$B,Summary!$C172)</f>
        <v>7535</v>
      </c>
      <c r="R172" s="183">
        <f ca="1">SUMIFS(OFFSET('BPC Data'!$F:$F,0,Summary!R$2),'BPC Data'!$E:$E,Summary!$D172,'BPC Data'!$B:$B,Summary!$C172)</f>
        <v>7535</v>
      </c>
      <c r="S172" s="187">
        <f t="shared" ca="1" si="58"/>
        <v>89871</v>
      </c>
      <c r="T172" s="181"/>
    </row>
    <row r="173" spans="1:20" s="17" customFormat="1" x14ac:dyDescent="0.25">
      <c r="A173" s="17">
        <f t="shared" si="68"/>
        <v>15</v>
      </c>
      <c r="B173"/>
      <c r="C173"/>
      <c r="D173" s="1" t="str">
        <f t="shared" si="62"/>
        <v>x</v>
      </c>
      <c r="E173"/>
      <c r="F173" s="24" t="s">
        <v>0</v>
      </c>
      <c r="G173" s="12">
        <f ca="1">G171/G172</f>
        <v>6.8584058759521218</v>
      </c>
      <c r="H173" s="184">
        <f t="shared" ref="H173:I173" ca="1" si="69">H171/H172</f>
        <v>13.203618063112078</v>
      </c>
      <c r="I173" s="12">
        <f t="shared" ca="1" si="69"/>
        <v>13.329434167573449</v>
      </c>
      <c r="J173" s="184">
        <f t="shared" ref="J173:R173" ca="1" si="70">J171/J172</f>
        <v>-13.304180491041805</v>
      </c>
      <c r="K173" s="12">
        <f t="shared" ca="1" si="70"/>
        <v>5.0156602521566027</v>
      </c>
      <c r="L173" s="184">
        <f t="shared" ca="1" si="70"/>
        <v>7.1969475779694756</v>
      </c>
      <c r="M173" s="12">
        <f t="shared" ca="1" si="70"/>
        <v>18.789382879893829</v>
      </c>
      <c r="N173" s="184">
        <f t="shared" ca="1" si="70"/>
        <v>15.120371599203716</v>
      </c>
      <c r="O173" s="12">
        <f t="shared" ca="1" si="70"/>
        <v>20.976775049767749</v>
      </c>
      <c r="P173" s="184">
        <f t="shared" ca="1" si="70"/>
        <v>14.219110816191108</v>
      </c>
      <c r="Q173" s="12">
        <f t="shared" ca="1" si="70"/>
        <v>23.522893165228933</v>
      </c>
      <c r="R173" s="184">
        <f t="shared" ca="1" si="70"/>
        <v>23.765494359654944</v>
      </c>
      <c r="S173" s="187">
        <f t="shared" ca="1" si="58"/>
        <v>148.6939133156622</v>
      </c>
      <c r="T173" s="181"/>
    </row>
    <row r="174" spans="1:20" s="17" customFormat="1" x14ac:dyDescent="0.25">
      <c r="A174" s="17">
        <f>IF(AND(D174&lt;&gt;"",C174=""),A173+1,A173)</f>
        <v>16</v>
      </c>
      <c r="B174" s="5"/>
      <c r="C174" s="5"/>
      <c r="D174" s="5" t="str">
        <f t="shared" si="62"/>
        <v>x</v>
      </c>
      <c r="E174" s="5"/>
      <c r="F174" s="23" t="str">
        <f>INDEX(PropertyList!$D:$D,MATCH(Summary!$A174,PropertyList!$C:$C,0))</f>
        <v>SHC of Primacy</v>
      </c>
      <c r="G174" s="11"/>
      <c r="H174" s="182"/>
      <c r="I174" s="11"/>
      <c r="J174" s="182"/>
      <c r="K174" s="11"/>
      <c r="L174" s="182"/>
      <c r="M174" s="11"/>
      <c r="N174" s="182"/>
      <c r="O174" s="11"/>
      <c r="P174" s="182"/>
      <c r="Q174" s="11"/>
      <c r="R174" s="182"/>
      <c r="S174" s="187">
        <f t="shared" si="58"/>
        <v>0</v>
      </c>
      <c r="T174" s="181"/>
    </row>
    <row r="175" spans="1:20" s="17" customFormat="1" x14ac:dyDescent="0.25">
      <c r="A175" s="17">
        <f>IF(AND(F175&lt;&gt;"",D175=""),A174+1,A174)</f>
        <v>16</v>
      </c>
      <c r="C175" t="str">
        <f>$F174</f>
        <v>SHC of Primacy</v>
      </c>
      <c r="D175" s="3" t="str">
        <f t="shared" si="62"/>
        <v>PAY_PAT_DAYS - Total Payor Patient Days</v>
      </c>
      <c r="F175" s="24" t="str">
        <f>_xll.EVDES(D175)</f>
        <v>Total Payor Patient Days</v>
      </c>
      <c r="G175" s="19">
        <f ca="1">SUMIFS(OFFSET('BPC Data'!$F:$F,0,Summary!G$2),'BPC Data'!$E:$E,Summary!$D175,'BPC Data'!$B:$B,Summary!$C175)</f>
        <v>2494</v>
      </c>
      <c r="H175" s="183">
        <f ca="1">SUMIFS(OFFSET('BPC Data'!$F:$F,0,Summary!H$2),'BPC Data'!$E:$E,Summary!$D175,'BPC Data'!$B:$B,Summary!$C175)</f>
        <v>2508</v>
      </c>
      <c r="I175" s="19">
        <f ca="1">SUMIFS(OFFSET('BPC Data'!$F:$F,0,Summary!I$2),'BPC Data'!$E:$E,Summary!$D175,'BPC Data'!$B:$B,Summary!$C175)</f>
        <v>2386</v>
      </c>
      <c r="J175" s="183">
        <f ca="1">SUMIFS(OFFSET('BPC Data'!$F:$F,0,Summary!J$2),'BPC Data'!$E:$E,Summary!$D175,'BPC Data'!$B:$B,Summary!$C175)</f>
        <v>2008</v>
      </c>
      <c r="K175" s="19">
        <f ca="1">SUMIFS(OFFSET('BPC Data'!$F:$F,0,Summary!K$2),'BPC Data'!$E:$E,Summary!$D175,'BPC Data'!$B:$B,Summary!$C175)</f>
        <v>2398</v>
      </c>
      <c r="L175" s="183">
        <f ca="1">SUMIFS(OFFSET('BPC Data'!$F:$F,0,Summary!L$2),'BPC Data'!$E:$E,Summary!$D175,'BPC Data'!$B:$B,Summary!$C175)</f>
        <v>2083</v>
      </c>
      <c r="M175" s="19">
        <f ca="1">SUMIFS(OFFSET('BPC Data'!$F:$F,0,Summary!M$2),'BPC Data'!$E:$E,Summary!$D175,'BPC Data'!$B:$B,Summary!$C175)</f>
        <v>2457</v>
      </c>
      <c r="N175" s="183">
        <f ca="1">SUMIFS(OFFSET('BPC Data'!$F:$F,0,Summary!N$2),'BPC Data'!$E:$E,Summary!$D175,'BPC Data'!$B:$B,Summary!$C175)</f>
        <v>2336</v>
      </c>
      <c r="O175" s="19">
        <f ca="1">SUMIFS(OFFSET('BPC Data'!$F:$F,0,Summary!O$2),'BPC Data'!$E:$E,Summary!$D175,'BPC Data'!$B:$B,Summary!$C175)</f>
        <v>2491</v>
      </c>
      <c r="P175" s="183">
        <f ca="1">SUMIFS(OFFSET('BPC Data'!$F:$F,0,Summary!P$2),'BPC Data'!$E:$E,Summary!$D175,'BPC Data'!$B:$B,Summary!$C175)</f>
        <v>2288</v>
      </c>
      <c r="Q175" s="19">
        <f ca="1">SUMIFS(OFFSET('BPC Data'!$F:$F,0,Summary!Q$2),'BPC Data'!$E:$E,Summary!$D175,'BPC Data'!$B:$B,Summary!$C175)</f>
        <v>2694</v>
      </c>
      <c r="R175" s="183">
        <f ca="1">SUMIFS(OFFSET('BPC Data'!$F:$F,0,Summary!R$2),'BPC Data'!$E:$E,Summary!$D175,'BPC Data'!$B:$B,Summary!$C175)</f>
        <v>2749</v>
      </c>
      <c r="S175" s="187">
        <f t="shared" ca="1" si="58"/>
        <v>28892</v>
      </c>
      <c r="T175" s="181"/>
    </row>
    <row r="176" spans="1:20" s="17" customFormat="1" x14ac:dyDescent="0.25">
      <c r="A176" s="17">
        <f t="shared" ref="A176:A184" si="71">IF(AND(F176&lt;&gt;"",D176=""),A175+1,A175)</f>
        <v>16</v>
      </c>
      <c r="C176" t="str">
        <f>$F174</f>
        <v>SHC of Primacy</v>
      </c>
      <c r="D176" s="3" t="str">
        <f t="shared" si="62"/>
        <v>A_BEDS_TOTAL - Total Available Beds</v>
      </c>
      <c r="F176" s="24" t="str">
        <f>_xll.EVDES(D176)</f>
        <v>Total Available Beds</v>
      </c>
      <c r="G176" s="19">
        <f ca="1">SUMIFS(OFFSET('BPC Data'!$F:$F,0,Summary!G$2),'BPC Data'!$E:$E,Summary!$D176,'BPC Data'!$B:$B,Summary!$C176)</f>
        <v>120</v>
      </c>
      <c r="H176" s="183">
        <f ca="1">SUMIFS(OFFSET('BPC Data'!$F:$F,0,Summary!H$2),'BPC Data'!$E:$E,Summary!$D176,'BPC Data'!$B:$B,Summary!$C176)</f>
        <v>120</v>
      </c>
      <c r="I176" s="19">
        <f ca="1">SUMIFS(OFFSET('BPC Data'!$F:$F,0,Summary!I$2),'BPC Data'!$E:$E,Summary!$D176,'BPC Data'!$B:$B,Summary!$C176)</f>
        <v>120</v>
      </c>
      <c r="J176" s="183">
        <f ca="1">SUMIFS(OFFSET('BPC Data'!$F:$F,0,Summary!J$2),'BPC Data'!$E:$E,Summary!$D176,'BPC Data'!$B:$B,Summary!$C176)</f>
        <v>120</v>
      </c>
      <c r="K176" s="19">
        <f ca="1">SUMIFS(OFFSET('BPC Data'!$F:$F,0,Summary!K$2),'BPC Data'!$E:$E,Summary!$D176,'BPC Data'!$B:$B,Summary!$C176)</f>
        <v>120</v>
      </c>
      <c r="L176" s="183">
        <f ca="1">SUMIFS(OFFSET('BPC Data'!$F:$F,0,Summary!L$2),'BPC Data'!$E:$E,Summary!$D176,'BPC Data'!$B:$B,Summary!$C176)</f>
        <v>120</v>
      </c>
      <c r="M176" s="19">
        <f ca="1">SUMIFS(OFFSET('BPC Data'!$F:$F,0,Summary!M$2),'BPC Data'!$E:$E,Summary!$D176,'BPC Data'!$B:$B,Summary!$C176)</f>
        <v>120</v>
      </c>
      <c r="N176" s="183">
        <f ca="1">SUMIFS(OFFSET('BPC Data'!$F:$F,0,Summary!N$2),'BPC Data'!$E:$E,Summary!$D176,'BPC Data'!$B:$B,Summary!$C176)</f>
        <v>120</v>
      </c>
      <c r="O176" s="19">
        <f ca="1">SUMIFS(OFFSET('BPC Data'!$F:$F,0,Summary!O$2),'BPC Data'!$E:$E,Summary!$D176,'BPC Data'!$B:$B,Summary!$C176)</f>
        <v>120</v>
      </c>
      <c r="P176" s="183">
        <f ca="1">SUMIFS(OFFSET('BPC Data'!$F:$F,0,Summary!P$2),'BPC Data'!$E:$E,Summary!$D176,'BPC Data'!$B:$B,Summary!$C176)</f>
        <v>120</v>
      </c>
      <c r="Q176" s="19">
        <f ca="1">SUMIFS(OFFSET('BPC Data'!$F:$F,0,Summary!Q$2),'BPC Data'!$E:$E,Summary!$D176,'BPC Data'!$B:$B,Summary!$C176)</f>
        <v>120</v>
      </c>
      <c r="R176" s="183">
        <f ca="1">SUMIFS(OFFSET('BPC Data'!$F:$F,0,Summary!R$2),'BPC Data'!$E:$E,Summary!$D176,'BPC Data'!$B:$B,Summary!$C176)</f>
        <v>120</v>
      </c>
      <c r="S176" s="187">
        <f ca="1">R176</f>
        <v>120</v>
      </c>
      <c r="T176" s="181"/>
    </row>
    <row r="177" spans="1:20" s="17" customFormat="1" x14ac:dyDescent="0.25">
      <c r="A177" s="17">
        <f t="shared" si="71"/>
        <v>16</v>
      </c>
      <c r="B177"/>
      <c r="C177" t="str">
        <f>$F174</f>
        <v>SHC of Primacy</v>
      </c>
      <c r="D177" s="3" t="str">
        <f t="shared" si="62"/>
        <v>T_REVENUES - Total Tenant Revenues</v>
      </c>
      <c r="E177"/>
      <c r="F177" s="24" t="str">
        <f>_xll.EVDES(D177)</f>
        <v>Total Tenant Revenues</v>
      </c>
      <c r="G177" s="19">
        <f ca="1">SUMIFS(OFFSET('BPC Data'!$F:$F,0,Summary!G$2),'BPC Data'!$E:$E,Summary!$D177,'BPC Data'!$B:$B,Summary!$C177)</f>
        <v>920870</v>
      </c>
      <c r="H177" s="183">
        <f ca="1">SUMIFS(OFFSET('BPC Data'!$F:$F,0,Summary!H$2),'BPC Data'!$E:$E,Summary!$D177,'BPC Data'!$B:$B,Summary!$C177)</f>
        <v>1027613</v>
      </c>
      <c r="I177" s="19">
        <f ca="1">SUMIFS(OFFSET('BPC Data'!$F:$F,0,Summary!I$2),'BPC Data'!$E:$E,Summary!$D177,'BPC Data'!$B:$B,Summary!$C177)</f>
        <v>1012527</v>
      </c>
      <c r="J177" s="183">
        <f ca="1">SUMIFS(OFFSET('BPC Data'!$F:$F,0,Summary!J$2),'BPC Data'!$E:$E,Summary!$D177,'BPC Data'!$B:$B,Summary!$C177)</f>
        <v>1256904</v>
      </c>
      <c r="K177" s="19">
        <f ca="1">SUMIFS(OFFSET('BPC Data'!$F:$F,0,Summary!K$2),'BPC Data'!$E:$E,Summary!$D177,'BPC Data'!$B:$B,Summary!$C177)</f>
        <v>874268</v>
      </c>
      <c r="L177" s="183">
        <f ca="1">SUMIFS(OFFSET('BPC Data'!$F:$F,0,Summary!L$2),'BPC Data'!$E:$E,Summary!$D177,'BPC Data'!$B:$B,Summary!$C177)</f>
        <v>778292</v>
      </c>
      <c r="M177" s="19">
        <f ca="1">SUMIFS(OFFSET('BPC Data'!$F:$F,0,Summary!M$2),'BPC Data'!$E:$E,Summary!$D177,'BPC Data'!$B:$B,Summary!$C177)</f>
        <v>820742</v>
      </c>
      <c r="N177" s="183">
        <f ca="1">SUMIFS(OFFSET('BPC Data'!$F:$F,0,Summary!N$2),'BPC Data'!$E:$E,Summary!$D177,'BPC Data'!$B:$B,Summary!$C177)</f>
        <v>766201</v>
      </c>
      <c r="O177" s="19">
        <f ca="1">SUMIFS(OFFSET('BPC Data'!$F:$F,0,Summary!O$2),'BPC Data'!$E:$E,Summary!$D177,'BPC Data'!$B:$B,Summary!$C177)</f>
        <v>830653</v>
      </c>
      <c r="P177" s="183">
        <f ca="1">SUMIFS(OFFSET('BPC Data'!$F:$F,0,Summary!P$2),'BPC Data'!$E:$E,Summary!$D177,'BPC Data'!$B:$B,Summary!$C177)</f>
        <v>813481</v>
      </c>
      <c r="Q177" s="19">
        <f ca="1">SUMIFS(OFFSET('BPC Data'!$F:$F,0,Summary!Q$2),'BPC Data'!$E:$E,Summary!$D177,'BPC Data'!$B:$B,Summary!$C177)</f>
        <v>960982</v>
      </c>
      <c r="R177" s="183">
        <f ca="1">SUMIFS(OFFSET('BPC Data'!$F:$F,0,Summary!R$2),'BPC Data'!$E:$E,Summary!$D177,'BPC Data'!$B:$B,Summary!$C177)</f>
        <v>1025031</v>
      </c>
      <c r="S177" s="187">
        <f t="shared" ca="1" si="58"/>
        <v>11087564</v>
      </c>
      <c r="T177" s="181"/>
    </row>
    <row r="178" spans="1:20" s="17" customFormat="1" x14ac:dyDescent="0.25">
      <c r="A178" s="17">
        <f t="shared" si="71"/>
        <v>16</v>
      </c>
      <c r="B178"/>
      <c r="C178" t="str">
        <f>$F174</f>
        <v>SHC of Primacy</v>
      </c>
      <c r="D178" s="3" t="str">
        <f t="shared" si="62"/>
        <v>T_OPEX - Tenant Operating Expenses</v>
      </c>
      <c r="E178"/>
      <c r="F178" s="24" t="str">
        <f>_xll.EVDES(D178)</f>
        <v>Tenant Operating Expenses</v>
      </c>
      <c r="G178" s="19">
        <f ca="1">SUMIFS(OFFSET('BPC Data'!$F:$F,0,Summary!G$2),'BPC Data'!$E:$E,Summary!$D178,'BPC Data'!$B:$B,Summary!$C178)</f>
        <v>850529</v>
      </c>
      <c r="H178" s="183">
        <f ca="1">SUMIFS(OFFSET('BPC Data'!$F:$F,0,Summary!H$2),'BPC Data'!$E:$E,Summary!$D178,'BPC Data'!$B:$B,Summary!$C178)</f>
        <v>875366</v>
      </c>
      <c r="I178" s="19">
        <f ca="1">SUMIFS(OFFSET('BPC Data'!$F:$F,0,Summary!I$2),'BPC Data'!$E:$E,Summary!$D178,'BPC Data'!$B:$B,Summary!$C178)</f>
        <v>863724</v>
      </c>
      <c r="J178" s="183">
        <f ca="1">SUMIFS(OFFSET('BPC Data'!$F:$F,0,Summary!J$2),'BPC Data'!$E:$E,Summary!$D178,'BPC Data'!$B:$B,Summary!$C178)</f>
        <v>1301499</v>
      </c>
      <c r="K178" s="19">
        <f ca="1">SUMIFS(OFFSET('BPC Data'!$F:$F,0,Summary!K$2),'BPC Data'!$E:$E,Summary!$D178,'BPC Data'!$B:$B,Summary!$C178)</f>
        <v>929522</v>
      </c>
      <c r="L178" s="183">
        <f ca="1">SUMIFS(OFFSET('BPC Data'!$F:$F,0,Summary!L$2),'BPC Data'!$E:$E,Summary!$D178,'BPC Data'!$B:$B,Summary!$C178)</f>
        <v>698614</v>
      </c>
      <c r="M178" s="19">
        <f ca="1">SUMIFS(OFFSET('BPC Data'!$F:$F,0,Summary!M$2),'BPC Data'!$E:$E,Summary!$D178,'BPC Data'!$B:$B,Summary!$C178)</f>
        <v>749000</v>
      </c>
      <c r="N178" s="183">
        <f ca="1">SUMIFS(OFFSET('BPC Data'!$F:$F,0,Summary!N$2),'BPC Data'!$E:$E,Summary!$D178,'BPC Data'!$B:$B,Summary!$C178)</f>
        <v>802700</v>
      </c>
      <c r="O178" s="19">
        <f ca="1">SUMIFS(OFFSET('BPC Data'!$F:$F,0,Summary!O$2),'BPC Data'!$E:$E,Summary!$D178,'BPC Data'!$B:$B,Summary!$C178)</f>
        <v>833775</v>
      </c>
      <c r="P178" s="183">
        <f ca="1">SUMIFS(OFFSET('BPC Data'!$F:$F,0,Summary!P$2),'BPC Data'!$E:$E,Summary!$D178,'BPC Data'!$B:$B,Summary!$C178)</f>
        <v>890705</v>
      </c>
      <c r="Q178" s="19">
        <f ca="1">SUMIFS(OFFSET('BPC Data'!$F:$F,0,Summary!Q$2),'BPC Data'!$E:$E,Summary!$D178,'BPC Data'!$B:$B,Summary!$C178)</f>
        <v>864139</v>
      </c>
      <c r="R178" s="183">
        <f ca="1">SUMIFS(OFFSET('BPC Data'!$F:$F,0,Summary!R$2),'BPC Data'!$E:$E,Summary!$D178,'BPC Data'!$B:$B,Summary!$C178)</f>
        <v>958073</v>
      </c>
      <c r="S178" s="187">
        <f t="shared" ca="1" si="58"/>
        <v>10617646</v>
      </c>
      <c r="T178" s="181"/>
    </row>
    <row r="179" spans="1:20" s="17" customFormat="1" x14ac:dyDescent="0.25">
      <c r="A179" s="17">
        <f t="shared" si="71"/>
        <v>16</v>
      </c>
      <c r="B179"/>
      <c r="C179" t="str">
        <f>$F174</f>
        <v>SHC of Primacy</v>
      </c>
      <c r="D179" s="3" t="str">
        <f t="shared" si="62"/>
        <v>T_BAD_DEBT - Tenant Bad Debt Expense</v>
      </c>
      <c r="E179"/>
      <c r="F179" s="24" t="str">
        <f>_xll.EVDES(D179)</f>
        <v>Tenant Bad Debt Expense</v>
      </c>
      <c r="G179" s="19">
        <f ca="1">SUMIFS(OFFSET('BPC Data'!$F:$F,0,Summary!G$2),'BPC Data'!$E:$E,Summary!$D179,'BPC Data'!$B:$B,Summary!$C179)</f>
        <v>70146</v>
      </c>
      <c r="H179" s="183">
        <f ca="1">SUMIFS(OFFSET('BPC Data'!$F:$F,0,Summary!H$2),'BPC Data'!$E:$E,Summary!$D179,'BPC Data'!$B:$B,Summary!$C179)</f>
        <v>56093</v>
      </c>
      <c r="I179" s="19">
        <f ca="1">SUMIFS(OFFSET('BPC Data'!$F:$F,0,Summary!I$2),'BPC Data'!$E:$E,Summary!$D179,'BPC Data'!$B:$B,Summary!$C179)</f>
        <v>60016</v>
      </c>
      <c r="J179" s="183">
        <f ca="1">SUMIFS(OFFSET('BPC Data'!$F:$F,0,Summary!J$2),'BPC Data'!$E:$E,Summary!$D179,'BPC Data'!$B:$B,Summary!$C179)</f>
        <v>47702</v>
      </c>
      <c r="K179" s="19">
        <f ca="1">SUMIFS(OFFSET('BPC Data'!$F:$F,0,Summary!K$2),'BPC Data'!$E:$E,Summary!$D179,'BPC Data'!$B:$B,Summary!$C179)</f>
        <v>23587</v>
      </c>
      <c r="L179" s="183">
        <f ca="1">SUMIFS(OFFSET('BPC Data'!$F:$F,0,Summary!L$2),'BPC Data'!$E:$E,Summary!$D179,'BPC Data'!$B:$B,Summary!$C179)</f>
        <v>24000</v>
      </c>
      <c r="M179" s="19">
        <f ca="1">SUMIFS(OFFSET('BPC Data'!$F:$F,0,Summary!M$2),'BPC Data'!$E:$E,Summary!$D179,'BPC Data'!$B:$B,Summary!$C179)</f>
        <v>0</v>
      </c>
      <c r="N179" s="183">
        <f ca="1">SUMIFS(OFFSET('BPC Data'!$F:$F,0,Summary!N$2),'BPC Data'!$E:$E,Summary!$D179,'BPC Data'!$B:$B,Summary!$C179)</f>
        <v>4350</v>
      </c>
      <c r="O179" s="19">
        <f ca="1">SUMIFS(OFFSET('BPC Data'!$F:$F,0,Summary!O$2),'BPC Data'!$E:$E,Summary!$D179,'BPC Data'!$B:$B,Summary!$C179)</f>
        <v>27711</v>
      </c>
      <c r="P179" s="183">
        <f ca="1">SUMIFS(OFFSET('BPC Data'!$F:$F,0,Summary!P$2),'BPC Data'!$E:$E,Summary!$D179,'BPC Data'!$B:$B,Summary!$C179)</f>
        <v>93182</v>
      </c>
      <c r="Q179" s="19">
        <f ca="1">SUMIFS(OFFSET('BPC Data'!$F:$F,0,Summary!Q$2),'BPC Data'!$E:$E,Summary!$D179,'BPC Data'!$B:$B,Summary!$C179)</f>
        <v>23803</v>
      </c>
      <c r="R179" s="183">
        <f ca="1">SUMIFS(OFFSET('BPC Data'!$F:$F,0,Summary!R$2),'BPC Data'!$E:$E,Summary!$D179,'BPC Data'!$B:$B,Summary!$C179)</f>
        <v>37464</v>
      </c>
      <c r="S179" s="187">
        <f t="shared" ca="1" si="58"/>
        <v>468054</v>
      </c>
      <c r="T179" s="181"/>
    </row>
    <row r="180" spans="1:20" s="17" customFormat="1" x14ac:dyDescent="0.25">
      <c r="A180" s="17">
        <f t="shared" si="71"/>
        <v>16</v>
      </c>
      <c r="B180"/>
      <c r="C180" t="str">
        <f>$F174</f>
        <v>SHC of Primacy</v>
      </c>
      <c r="D180" s="2" t="str">
        <f t="shared" si="62"/>
        <v>T_EBITDARM - EBITDARM</v>
      </c>
      <c r="E180"/>
      <c r="F180" s="24" t="str">
        <f>_xll.EVDES(D180)</f>
        <v>EBITDARM</v>
      </c>
      <c r="G180" s="19">
        <f ca="1">SUMIFS(OFFSET('BPC Data'!$F:$F,0,Summary!G$2),'BPC Data'!$E:$E,Summary!$D180,'BPC Data'!$B:$B,Summary!$C180)</f>
        <v>70341</v>
      </c>
      <c r="H180" s="183">
        <f ca="1">SUMIFS(OFFSET('BPC Data'!$F:$F,0,Summary!H$2),'BPC Data'!$E:$E,Summary!$D180,'BPC Data'!$B:$B,Summary!$C180)</f>
        <v>152247</v>
      </c>
      <c r="I180" s="19">
        <f ca="1">SUMIFS(OFFSET('BPC Data'!$F:$F,0,Summary!I$2),'BPC Data'!$E:$E,Summary!$D180,'BPC Data'!$B:$B,Summary!$C180)</f>
        <v>148803</v>
      </c>
      <c r="J180" s="183">
        <f ca="1">SUMIFS(OFFSET('BPC Data'!$F:$F,0,Summary!J$2),'BPC Data'!$E:$E,Summary!$D180,'BPC Data'!$B:$B,Summary!$C180)</f>
        <v>-44595</v>
      </c>
      <c r="K180" s="19">
        <f ca="1">SUMIFS(OFFSET('BPC Data'!$F:$F,0,Summary!K$2),'BPC Data'!$E:$E,Summary!$D180,'BPC Data'!$B:$B,Summary!$C180)</f>
        <v>-55254</v>
      </c>
      <c r="L180" s="183">
        <f ca="1">SUMIFS(OFFSET('BPC Data'!$F:$F,0,Summary!L$2),'BPC Data'!$E:$E,Summary!$D180,'BPC Data'!$B:$B,Summary!$C180)</f>
        <v>79678</v>
      </c>
      <c r="M180" s="19">
        <f ca="1">SUMIFS(OFFSET('BPC Data'!$F:$F,0,Summary!M$2),'BPC Data'!$E:$E,Summary!$D180,'BPC Data'!$B:$B,Summary!$C180)</f>
        <v>71742</v>
      </c>
      <c r="N180" s="183">
        <f ca="1">SUMIFS(OFFSET('BPC Data'!$F:$F,0,Summary!N$2),'BPC Data'!$E:$E,Summary!$D180,'BPC Data'!$B:$B,Summary!$C180)</f>
        <v>-36499</v>
      </c>
      <c r="O180" s="19">
        <f ca="1">SUMIFS(OFFSET('BPC Data'!$F:$F,0,Summary!O$2),'BPC Data'!$E:$E,Summary!$D180,'BPC Data'!$B:$B,Summary!$C180)</f>
        <v>-3122</v>
      </c>
      <c r="P180" s="183">
        <f ca="1">SUMIFS(OFFSET('BPC Data'!$F:$F,0,Summary!P$2),'BPC Data'!$E:$E,Summary!$D180,'BPC Data'!$B:$B,Summary!$C180)</f>
        <v>-77224</v>
      </c>
      <c r="Q180" s="19">
        <f ca="1">SUMIFS(OFFSET('BPC Data'!$F:$F,0,Summary!Q$2),'BPC Data'!$E:$E,Summary!$D180,'BPC Data'!$B:$B,Summary!$C180)</f>
        <v>96843</v>
      </c>
      <c r="R180" s="183">
        <f ca="1">SUMIFS(OFFSET('BPC Data'!$F:$F,0,Summary!R$2),'BPC Data'!$E:$E,Summary!$D180,'BPC Data'!$B:$B,Summary!$C180)</f>
        <v>66958</v>
      </c>
      <c r="S180" s="187">
        <f t="shared" ca="1" si="58"/>
        <v>469918</v>
      </c>
      <c r="T180" s="181"/>
    </row>
    <row r="181" spans="1:20" s="17" customFormat="1" x14ac:dyDescent="0.25">
      <c r="A181" s="17">
        <f t="shared" si="71"/>
        <v>16</v>
      </c>
      <c r="B181"/>
      <c r="C181" t="str">
        <f>$F174</f>
        <v>SHC of Primacy</v>
      </c>
      <c r="D181" s="2" t="str">
        <f t="shared" si="62"/>
        <v>T_MGMT_FEE - Tenant Management Fee - Actual</v>
      </c>
      <c r="E181"/>
      <c r="F181" s="24" t="str">
        <f>_xll.EVDES(D181)</f>
        <v>Tenant Management Fee - Actual</v>
      </c>
      <c r="G181" s="19">
        <f ca="1">SUMIFS(OFFSET('BPC Data'!$F:$F,0,Summary!G$2),'BPC Data'!$E:$E,Summary!$D181,'BPC Data'!$B:$B,Summary!$C181)</f>
        <v>46504</v>
      </c>
      <c r="H181" s="183">
        <f ca="1">SUMIFS(OFFSET('BPC Data'!$F:$F,0,Summary!H$2),'BPC Data'!$E:$E,Summary!$D181,'BPC Data'!$B:$B,Summary!$C181)</f>
        <v>51894</v>
      </c>
      <c r="I181" s="19">
        <f ca="1">SUMIFS(OFFSET('BPC Data'!$F:$F,0,Summary!I$2),'BPC Data'!$E:$E,Summary!$D181,'BPC Data'!$B:$B,Summary!$C181)</f>
        <v>51133</v>
      </c>
      <c r="J181" s="183">
        <f ca="1">SUMIFS(OFFSET('BPC Data'!$F:$F,0,Summary!J$2),'BPC Data'!$E:$E,Summary!$D181,'BPC Data'!$B:$B,Summary!$C181)</f>
        <v>63146</v>
      </c>
      <c r="K181" s="19">
        <f ca="1">SUMIFS(OFFSET('BPC Data'!$F:$F,0,Summary!K$2),'BPC Data'!$E:$E,Summary!$D181,'BPC Data'!$B:$B,Summary!$C181)</f>
        <v>44151</v>
      </c>
      <c r="L181" s="183">
        <f ca="1">SUMIFS(OFFSET('BPC Data'!$F:$F,0,Summary!L$2),'BPC Data'!$E:$E,Summary!$D181,'BPC Data'!$B:$B,Summary!$C181)</f>
        <v>39304</v>
      </c>
      <c r="M181" s="19">
        <f ca="1">SUMIFS(OFFSET('BPC Data'!$F:$F,0,Summary!M$2),'BPC Data'!$E:$E,Summary!$D181,'BPC Data'!$B:$B,Summary!$C181)</f>
        <v>41447</v>
      </c>
      <c r="N181" s="183">
        <f ca="1">SUMIFS(OFFSET('BPC Data'!$F:$F,0,Summary!N$2),'BPC Data'!$E:$E,Summary!$D181,'BPC Data'!$B:$B,Summary!$C181)</f>
        <v>38693</v>
      </c>
      <c r="O181" s="19">
        <f ca="1">SUMIFS(OFFSET('BPC Data'!$F:$F,0,Summary!O$2),'BPC Data'!$E:$E,Summary!$D181,'BPC Data'!$B:$B,Summary!$C181)</f>
        <v>41948</v>
      </c>
      <c r="P181" s="183">
        <f ca="1">SUMIFS(OFFSET('BPC Data'!$F:$F,0,Summary!P$2),'BPC Data'!$E:$E,Summary!$D181,'BPC Data'!$B:$B,Summary!$C181)</f>
        <v>41081</v>
      </c>
      <c r="Q181" s="19">
        <f ca="1">SUMIFS(OFFSET('BPC Data'!$F:$F,0,Summary!Q$2),'BPC Data'!$E:$E,Summary!$D181,'BPC Data'!$B:$B,Summary!$C181)</f>
        <v>48530</v>
      </c>
      <c r="R181" s="183">
        <f ca="1">SUMIFS(OFFSET('BPC Data'!$F:$F,0,Summary!R$2),'BPC Data'!$E:$E,Summary!$D181,'BPC Data'!$B:$B,Summary!$C181)</f>
        <v>51764</v>
      </c>
      <c r="S181" s="187">
        <f t="shared" ca="1" si="58"/>
        <v>559595</v>
      </c>
      <c r="T181" s="181"/>
    </row>
    <row r="182" spans="1:20" s="17" customFormat="1" x14ac:dyDescent="0.25">
      <c r="A182" s="17">
        <f t="shared" si="71"/>
        <v>16</v>
      </c>
      <c r="B182"/>
      <c r="C182" t="str">
        <f>$F174</f>
        <v>SHC of Primacy</v>
      </c>
      <c r="D182" s="1" t="str">
        <f t="shared" si="62"/>
        <v>T_EBITDAR - EBITDAR</v>
      </c>
      <c r="E182"/>
      <c r="F182" s="24" t="str">
        <f>_xll.EVDES(D182)</f>
        <v>EBITDAR</v>
      </c>
      <c r="G182" s="19">
        <f ca="1">SUMIFS(OFFSET('BPC Data'!$F:$F,0,Summary!G$2),'BPC Data'!$E:$E,Summary!$D182,'BPC Data'!$B:$B,Summary!$C182)</f>
        <v>23837</v>
      </c>
      <c r="H182" s="183">
        <f ca="1">SUMIFS(OFFSET('BPC Data'!$F:$F,0,Summary!H$2),'BPC Data'!$E:$E,Summary!$D182,'BPC Data'!$B:$B,Summary!$C182)</f>
        <v>100353</v>
      </c>
      <c r="I182" s="19">
        <f ca="1">SUMIFS(OFFSET('BPC Data'!$F:$F,0,Summary!I$2),'BPC Data'!$E:$E,Summary!$D182,'BPC Data'!$B:$B,Summary!$C182)</f>
        <v>97670</v>
      </c>
      <c r="J182" s="183">
        <f ca="1">SUMIFS(OFFSET('BPC Data'!$F:$F,0,Summary!J$2),'BPC Data'!$E:$E,Summary!$D182,'BPC Data'!$B:$B,Summary!$C182)</f>
        <v>-107741</v>
      </c>
      <c r="K182" s="19">
        <f ca="1">SUMIFS(OFFSET('BPC Data'!$F:$F,0,Summary!K$2),'BPC Data'!$E:$E,Summary!$D182,'BPC Data'!$B:$B,Summary!$C182)</f>
        <v>-99405</v>
      </c>
      <c r="L182" s="183">
        <f ca="1">SUMIFS(OFFSET('BPC Data'!$F:$F,0,Summary!L$2),'BPC Data'!$E:$E,Summary!$D182,'BPC Data'!$B:$B,Summary!$C182)</f>
        <v>40374</v>
      </c>
      <c r="M182" s="19">
        <f ca="1">SUMIFS(OFFSET('BPC Data'!$F:$F,0,Summary!M$2),'BPC Data'!$E:$E,Summary!$D182,'BPC Data'!$B:$B,Summary!$C182)</f>
        <v>30295</v>
      </c>
      <c r="N182" s="183">
        <f ca="1">SUMIFS(OFFSET('BPC Data'!$F:$F,0,Summary!N$2),'BPC Data'!$E:$E,Summary!$D182,'BPC Data'!$B:$B,Summary!$C182)</f>
        <v>-75192</v>
      </c>
      <c r="O182" s="19">
        <f ca="1">SUMIFS(OFFSET('BPC Data'!$F:$F,0,Summary!O$2),'BPC Data'!$E:$E,Summary!$D182,'BPC Data'!$B:$B,Summary!$C182)</f>
        <v>-45070</v>
      </c>
      <c r="P182" s="183">
        <f ca="1">SUMIFS(OFFSET('BPC Data'!$F:$F,0,Summary!P$2),'BPC Data'!$E:$E,Summary!$D182,'BPC Data'!$B:$B,Summary!$C182)</f>
        <v>-118305</v>
      </c>
      <c r="Q182" s="19">
        <f ca="1">SUMIFS(OFFSET('BPC Data'!$F:$F,0,Summary!Q$2),'BPC Data'!$E:$E,Summary!$D182,'BPC Data'!$B:$B,Summary!$C182)</f>
        <v>48313</v>
      </c>
      <c r="R182" s="183">
        <f ca="1">SUMIFS(OFFSET('BPC Data'!$F:$F,0,Summary!R$2),'BPC Data'!$E:$E,Summary!$D182,'BPC Data'!$B:$B,Summary!$C182)</f>
        <v>15194</v>
      </c>
      <c r="S182" s="187">
        <f t="shared" ca="1" si="58"/>
        <v>-89677</v>
      </c>
      <c r="T182" s="181"/>
    </row>
    <row r="183" spans="1:20" s="17" customFormat="1" x14ac:dyDescent="0.25">
      <c r="A183" s="17">
        <f t="shared" si="71"/>
        <v>16</v>
      </c>
      <c r="B183"/>
      <c r="C183" t="str">
        <f>$F174</f>
        <v>SHC of Primacy</v>
      </c>
      <c r="D183" s="1" t="str">
        <f t="shared" si="62"/>
        <v>T_RENT_EXP - Tenant Rent Expense</v>
      </c>
      <c r="E183"/>
      <c r="F183" s="24" t="str">
        <f>_xll.EVDES(D183)</f>
        <v>Tenant Rent Expense</v>
      </c>
      <c r="G183" s="19">
        <f ca="1">SUMIFS(OFFSET('BPC Data'!$F:$F,0,Summary!G$2),'BPC Data'!$E:$E,Summary!$D183,'BPC Data'!$B:$B,Summary!$C183)</f>
        <v>32493</v>
      </c>
      <c r="H183" s="183">
        <f ca="1">SUMIFS(OFFSET('BPC Data'!$F:$F,0,Summary!H$2),'BPC Data'!$E:$E,Summary!$D183,'BPC Data'!$B:$B,Summary!$C183)</f>
        <v>32493</v>
      </c>
      <c r="I183" s="19">
        <f ca="1">SUMIFS(OFFSET('BPC Data'!$F:$F,0,Summary!I$2),'BPC Data'!$E:$E,Summary!$D183,'BPC Data'!$B:$B,Summary!$C183)</f>
        <v>32493</v>
      </c>
      <c r="J183" s="183">
        <f ca="1">SUMIFS(OFFSET('BPC Data'!$F:$F,0,Summary!J$2),'BPC Data'!$E:$E,Summary!$D183,'BPC Data'!$B:$B,Summary!$C183)</f>
        <v>33305</v>
      </c>
      <c r="K183" s="19">
        <f ca="1">SUMIFS(OFFSET('BPC Data'!$F:$F,0,Summary!K$2),'BPC Data'!$E:$E,Summary!$D183,'BPC Data'!$B:$B,Summary!$C183)</f>
        <v>33305</v>
      </c>
      <c r="L183" s="183">
        <f ca="1">SUMIFS(OFFSET('BPC Data'!$F:$F,0,Summary!L$2),'BPC Data'!$E:$E,Summary!$D183,'BPC Data'!$B:$B,Summary!$C183)</f>
        <v>33305</v>
      </c>
      <c r="M183" s="19">
        <f ca="1">SUMIFS(OFFSET('BPC Data'!$F:$F,0,Summary!M$2),'BPC Data'!$E:$E,Summary!$D183,'BPC Data'!$B:$B,Summary!$C183)</f>
        <v>33305</v>
      </c>
      <c r="N183" s="183">
        <f ca="1">SUMIFS(OFFSET('BPC Data'!$F:$F,0,Summary!N$2),'BPC Data'!$E:$E,Summary!$D183,'BPC Data'!$B:$B,Summary!$C183)</f>
        <v>33305</v>
      </c>
      <c r="O183" s="19">
        <f ca="1">SUMIFS(OFFSET('BPC Data'!$F:$F,0,Summary!O$2),'BPC Data'!$E:$E,Summary!$D183,'BPC Data'!$B:$B,Summary!$C183)</f>
        <v>33305</v>
      </c>
      <c r="P183" s="183">
        <f ca="1">SUMIFS(OFFSET('BPC Data'!$F:$F,0,Summary!P$2),'BPC Data'!$E:$E,Summary!$D183,'BPC Data'!$B:$B,Summary!$C183)</f>
        <v>33305</v>
      </c>
      <c r="Q183" s="19">
        <f ca="1">SUMIFS(OFFSET('BPC Data'!$F:$F,0,Summary!Q$2),'BPC Data'!$E:$E,Summary!$D183,'BPC Data'!$B:$B,Summary!$C183)</f>
        <v>33305</v>
      </c>
      <c r="R183" s="183">
        <f ca="1">SUMIFS(OFFSET('BPC Data'!$F:$F,0,Summary!R$2),'BPC Data'!$E:$E,Summary!$D183,'BPC Data'!$B:$B,Summary!$C183)</f>
        <v>33305</v>
      </c>
      <c r="S183" s="187">
        <f t="shared" ca="1" si="58"/>
        <v>397224</v>
      </c>
      <c r="T183" s="181"/>
    </row>
    <row r="184" spans="1:20" s="17" customFormat="1" x14ac:dyDescent="0.25">
      <c r="A184" s="17">
        <f t="shared" si="71"/>
        <v>16</v>
      </c>
      <c r="B184"/>
      <c r="C184"/>
      <c r="D184" s="1" t="str">
        <f t="shared" si="62"/>
        <v>x</v>
      </c>
      <c r="E184"/>
      <c r="F184" s="24" t="s">
        <v>0</v>
      </c>
      <c r="G184" s="12">
        <f ca="1">G182/G183</f>
        <v>0.73360416089619307</v>
      </c>
      <c r="H184" s="184">
        <f t="shared" ref="H184:I184" ca="1" si="72">H182/H183</f>
        <v>3.0884498199612223</v>
      </c>
      <c r="I184" s="12">
        <f t="shared" ca="1" si="72"/>
        <v>3.0058781891484321</v>
      </c>
      <c r="J184" s="184">
        <f t="shared" ref="J184:R184" ca="1" si="73">J182/J183</f>
        <v>-3.2349797327728571</v>
      </c>
      <c r="K184" s="12">
        <f t="shared" ca="1" si="73"/>
        <v>-2.9846869839363457</v>
      </c>
      <c r="L184" s="184">
        <f t="shared" ca="1" si="73"/>
        <v>1.2122504128509233</v>
      </c>
      <c r="M184" s="12">
        <f t="shared" ca="1" si="73"/>
        <v>0.90962317970274731</v>
      </c>
      <c r="N184" s="184">
        <f t="shared" ca="1" si="73"/>
        <v>-2.2576790271730971</v>
      </c>
      <c r="O184" s="12">
        <f t="shared" ca="1" si="73"/>
        <v>-1.3532502627233147</v>
      </c>
      <c r="P184" s="184">
        <f t="shared" ca="1" si="73"/>
        <v>-3.5521693439423512</v>
      </c>
      <c r="Q184" s="12">
        <f t="shared" ca="1" si="73"/>
        <v>1.4506230295751388</v>
      </c>
      <c r="R184" s="184">
        <f t="shared" ca="1" si="73"/>
        <v>0.45620777661011858</v>
      </c>
      <c r="S184" s="187">
        <f t="shared" ca="1" si="58"/>
        <v>-2.5261287818031901</v>
      </c>
      <c r="T184" s="181"/>
    </row>
    <row r="185" spans="1:20" s="17" customFormat="1" x14ac:dyDescent="0.25">
      <c r="A185" s="17">
        <f>IF(AND(D185&lt;&gt;"",C185=""),A184+1,A184)</f>
        <v>17</v>
      </c>
      <c r="B185" s="5"/>
      <c r="C185" s="5"/>
      <c r="D185" s="5" t="str">
        <f t="shared" si="62"/>
        <v>x</v>
      </c>
      <c r="E185" s="5"/>
      <c r="F185" s="23" t="str">
        <f>INDEX(PropertyList!$D:$D,MATCH(Summary!$A185,PropertyList!$C:$C,0))</f>
        <v>SHC of Harbour Pointe</v>
      </c>
      <c r="G185" s="11"/>
      <c r="H185" s="182"/>
      <c r="I185" s="11"/>
      <c r="J185" s="182"/>
      <c r="K185" s="11"/>
      <c r="L185" s="182"/>
      <c r="M185" s="11"/>
      <c r="N185" s="182"/>
      <c r="O185" s="11"/>
      <c r="P185" s="182"/>
      <c r="Q185" s="11"/>
      <c r="R185" s="182"/>
      <c r="S185" s="187">
        <f t="shared" si="58"/>
        <v>0</v>
      </c>
      <c r="T185" s="181"/>
    </row>
    <row r="186" spans="1:20" s="17" customFormat="1" x14ac:dyDescent="0.25">
      <c r="A186" s="17">
        <f>IF(AND(F186&lt;&gt;"",D186=""),A185+1,A185)</f>
        <v>17</v>
      </c>
      <c r="C186" t="str">
        <f>$F185</f>
        <v>SHC of Harbour Pointe</v>
      </c>
      <c r="D186" s="3" t="str">
        <f t="shared" si="62"/>
        <v>PAY_PAT_DAYS - Total Payor Patient Days</v>
      </c>
      <c r="F186" s="24" t="str">
        <f>_xll.EVDES(D186)</f>
        <v>Total Payor Patient Days</v>
      </c>
      <c r="G186" s="19">
        <f ca="1">SUMIFS(OFFSET('BPC Data'!$F:$F,0,Summary!G$2),'BPC Data'!$E:$E,Summary!$D186,'BPC Data'!$B:$B,Summary!$C186)</f>
        <v>4089</v>
      </c>
      <c r="H186" s="183">
        <f ca="1">SUMIFS(OFFSET('BPC Data'!$F:$F,0,Summary!H$2),'BPC Data'!$E:$E,Summary!$D186,'BPC Data'!$B:$B,Summary!$C186)</f>
        <v>4371</v>
      </c>
      <c r="I186" s="19">
        <f ca="1">SUMIFS(OFFSET('BPC Data'!$F:$F,0,Summary!I$2),'BPC Data'!$E:$E,Summary!$D186,'BPC Data'!$B:$B,Summary!$C186)</f>
        <v>4364</v>
      </c>
      <c r="J186" s="183">
        <f ca="1">SUMIFS(OFFSET('BPC Data'!$F:$F,0,Summary!J$2),'BPC Data'!$E:$E,Summary!$D186,'BPC Data'!$B:$B,Summary!$C186)</f>
        <v>4558</v>
      </c>
      <c r="K186" s="19">
        <f ca="1">SUMIFS(OFFSET('BPC Data'!$F:$F,0,Summary!K$2),'BPC Data'!$E:$E,Summary!$D186,'BPC Data'!$B:$B,Summary!$C186)</f>
        <v>4535</v>
      </c>
      <c r="L186" s="183">
        <f ca="1">SUMIFS(OFFSET('BPC Data'!$F:$F,0,Summary!L$2),'BPC Data'!$E:$E,Summary!$D186,'BPC Data'!$B:$B,Summary!$C186)</f>
        <v>3835</v>
      </c>
      <c r="M186" s="19">
        <f ca="1">SUMIFS(OFFSET('BPC Data'!$F:$F,0,Summary!M$2),'BPC Data'!$E:$E,Summary!$D186,'BPC Data'!$B:$B,Summary!$C186)</f>
        <v>4276</v>
      </c>
      <c r="N186" s="183">
        <f ca="1">SUMIFS(OFFSET('BPC Data'!$F:$F,0,Summary!N$2),'BPC Data'!$E:$E,Summary!$D186,'BPC Data'!$B:$B,Summary!$C186)</f>
        <v>4177</v>
      </c>
      <c r="O186" s="19">
        <f ca="1">SUMIFS(OFFSET('BPC Data'!$F:$F,0,Summary!O$2),'BPC Data'!$E:$E,Summary!$D186,'BPC Data'!$B:$B,Summary!$C186)</f>
        <v>4329</v>
      </c>
      <c r="P186" s="183">
        <f ca="1">SUMIFS(OFFSET('BPC Data'!$F:$F,0,Summary!P$2),'BPC Data'!$E:$E,Summary!$D186,'BPC Data'!$B:$B,Summary!$C186)</f>
        <v>4176</v>
      </c>
      <c r="Q186" s="19">
        <f ca="1">SUMIFS(OFFSET('BPC Data'!$F:$F,0,Summary!Q$2),'BPC Data'!$E:$E,Summary!$D186,'BPC Data'!$B:$B,Summary!$C186)</f>
        <v>4383</v>
      </c>
      <c r="R186" s="183">
        <f ca="1">SUMIFS(OFFSET('BPC Data'!$F:$F,0,Summary!R$2),'BPC Data'!$E:$E,Summary!$D186,'BPC Data'!$B:$B,Summary!$C186)</f>
        <v>4484</v>
      </c>
      <c r="S186" s="187">
        <f t="shared" ca="1" si="58"/>
        <v>51577</v>
      </c>
      <c r="T186" s="181"/>
    </row>
    <row r="187" spans="1:20" s="17" customFormat="1" x14ac:dyDescent="0.25">
      <c r="A187" s="17">
        <f t="shared" ref="A187:A195" si="74">IF(AND(F187&lt;&gt;"",D187=""),A186+1,A186)</f>
        <v>17</v>
      </c>
      <c r="C187" t="str">
        <f>$F185</f>
        <v>SHC of Harbour Pointe</v>
      </c>
      <c r="D187" s="3" t="str">
        <f t="shared" si="62"/>
        <v>A_BEDS_TOTAL - Total Available Beds</v>
      </c>
      <c r="F187" s="24" t="str">
        <f>_xll.EVDES(D187)</f>
        <v>Total Available Beds</v>
      </c>
      <c r="G187" s="19">
        <f ca="1">SUMIFS(OFFSET('BPC Data'!$F:$F,0,Summary!G$2),'BPC Data'!$E:$E,Summary!$D187,'BPC Data'!$B:$B,Summary!$C187)</f>
        <v>163</v>
      </c>
      <c r="H187" s="183">
        <f ca="1">SUMIFS(OFFSET('BPC Data'!$F:$F,0,Summary!H$2),'BPC Data'!$E:$E,Summary!$D187,'BPC Data'!$B:$B,Summary!$C187)</f>
        <v>163</v>
      </c>
      <c r="I187" s="19">
        <f ca="1">SUMIFS(OFFSET('BPC Data'!$F:$F,0,Summary!I$2),'BPC Data'!$E:$E,Summary!$D187,'BPC Data'!$B:$B,Summary!$C187)</f>
        <v>163</v>
      </c>
      <c r="J187" s="183">
        <f ca="1">SUMIFS(OFFSET('BPC Data'!$F:$F,0,Summary!J$2),'BPC Data'!$E:$E,Summary!$D187,'BPC Data'!$B:$B,Summary!$C187)</f>
        <v>163</v>
      </c>
      <c r="K187" s="19">
        <f ca="1">SUMIFS(OFFSET('BPC Data'!$F:$F,0,Summary!K$2),'BPC Data'!$E:$E,Summary!$D187,'BPC Data'!$B:$B,Summary!$C187)</f>
        <v>163</v>
      </c>
      <c r="L187" s="183">
        <f ca="1">SUMIFS(OFFSET('BPC Data'!$F:$F,0,Summary!L$2),'BPC Data'!$E:$E,Summary!$D187,'BPC Data'!$B:$B,Summary!$C187)</f>
        <v>163</v>
      </c>
      <c r="M187" s="19">
        <f ca="1">SUMIFS(OFFSET('BPC Data'!$F:$F,0,Summary!M$2),'BPC Data'!$E:$E,Summary!$D187,'BPC Data'!$B:$B,Summary!$C187)</f>
        <v>163</v>
      </c>
      <c r="N187" s="183">
        <f ca="1">SUMIFS(OFFSET('BPC Data'!$F:$F,0,Summary!N$2),'BPC Data'!$E:$E,Summary!$D187,'BPC Data'!$B:$B,Summary!$C187)</f>
        <v>163</v>
      </c>
      <c r="O187" s="19">
        <f ca="1">SUMIFS(OFFSET('BPC Data'!$F:$F,0,Summary!O$2),'BPC Data'!$E:$E,Summary!$D187,'BPC Data'!$B:$B,Summary!$C187)</f>
        <v>163</v>
      </c>
      <c r="P187" s="183">
        <f ca="1">SUMIFS(OFFSET('BPC Data'!$F:$F,0,Summary!P$2),'BPC Data'!$E:$E,Summary!$D187,'BPC Data'!$B:$B,Summary!$C187)</f>
        <v>163</v>
      </c>
      <c r="Q187" s="19">
        <f ca="1">SUMIFS(OFFSET('BPC Data'!$F:$F,0,Summary!Q$2),'BPC Data'!$E:$E,Summary!$D187,'BPC Data'!$B:$B,Summary!$C187)</f>
        <v>163</v>
      </c>
      <c r="R187" s="183">
        <f ca="1">SUMIFS(OFFSET('BPC Data'!$F:$F,0,Summary!R$2),'BPC Data'!$E:$E,Summary!$D187,'BPC Data'!$B:$B,Summary!$C187)</f>
        <v>163</v>
      </c>
      <c r="S187" s="187">
        <f ca="1">R187</f>
        <v>163</v>
      </c>
      <c r="T187" s="181"/>
    </row>
    <row r="188" spans="1:20" s="17" customFormat="1" x14ac:dyDescent="0.25">
      <c r="A188" s="17">
        <f t="shared" si="74"/>
        <v>17</v>
      </c>
      <c r="B188"/>
      <c r="C188" t="str">
        <f>$F185</f>
        <v>SHC of Harbour Pointe</v>
      </c>
      <c r="D188" s="3" t="str">
        <f t="shared" si="62"/>
        <v>T_REVENUES - Total Tenant Revenues</v>
      </c>
      <c r="E188"/>
      <c r="F188" s="24" t="str">
        <f>_xll.EVDES(D188)</f>
        <v>Total Tenant Revenues</v>
      </c>
      <c r="G188" s="19">
        <f ca="1">SUMIFS(OFFSET('BPC Data'!$F:$F,0,Summary!G$2),'BPC Data'!$E:$E,Summary!$D188,'BPC Data'!$B:$B,Summary!$C188)</f>
        <v>1014256</v>
      </c>
      <c r="H188" s="183">
        <f ca="1">SUMIFS(OFFSET('BPC Data'!$F:$F,0,Summary!H$2),'BPC Data'!$E:$E,Summary!$D188,'BPC Data'!$B:$B,Summary!$C188)</f>
        <v>1106290</v>
      </c>
      <c r="I188" s="19">
        <f ca="1">SUMIFS(OFFSET('BPC Data'!$F:$F,0,Summary!I$2),'BPC Data'!$E:$E,Summary!$D188,'BPC Data'!$B:$B,Summary!$C188)</f>
        <v>1195549</v>
      </c>
      <c r="J188" s="183">
        <f ca="1">SUMIFS(OFFSET('BPC Data'!$F:$F,0,Summary!J$2),'BPC Data'!$E:$E,Summary!$D188,'BPC Data'!$B:$B,Summary!$C188)</f>
        <v>939663</v>
      </c>
      <c r="K188" s="19">
        <f ca="1">SUMIFS(OFFSET('BPC Data'!$F:$F,0,Summary!K$2),'BPC Data'!$E:$E,Summary!$D188,'BPC Data'!$B:$B,Summary!$C188)</f>
        <v>1046956</v>
      </c>
      <c r="L188" s="183">
        <f ca="1">SUMIFS(OFFSET('BPC Data'!$F:$F,0,Summary!L$2),'BPC Data'!$E:$E,Summary!$D188,'BPC Data'!$B:$B,Summary!$C188)</f>
        <v>916675</v>
      </c>
      <c r="M188" s="19">
        <f ca="1">SUMIFS(OFFSET('BPC Data'!$F:$F,0,Summary!M$2),'BPC Data'!$E:$E,Summary!$D188,'BPC Data'!$B:$B,Summary!$C188)</f>
        <v>1006927</v>
      </c>
      <c r="N188" s="183">
        <f ca="1">SUMIFS(OFFSET('BPC Data'!$F:$F,0,Summary!N$2),'BPC Data'!$E:$E,Summary!$D188,'BPC Data'!$B:$B,Summary!$C188)</f>
        <v>947080</v>
      </c>
      <c r="O188" s="19">
        <f ca="1">SUMIFS(OFFSET('BPC Data'!$F:$F,0,Summary!O$2),'BPC Data'!$E:$E,Summary!$D188,'BPC Data'!$B:$B,Summary!$C188)</f>
        <v>960105</v>
      </c>
      <c r="P188" s="183">
        <f ca="1">SUMIFS(OFFSET('BPC Data'!$F:$F,0,Summary!P$2),'BPC Data'!$E:$E,Summary!$D188,'BPC Data'!$B:$B,Summary!$C188)</f>
        <v>950150</v>
      </c>
      <c r="Q188" s="19">
        <f ca="1">SUMIFS(OFFSET('BPC Data'!$F:$F,0,Summary!Q$2),'BPC Data'!$E:$E,Summary!$D188,'BPC Data'!$B:$B,Summary!$C188)</f>
        <v>1050737</v>
      </c>
      <c r="R188" s="183">
        <f ca="1">SUMIFS(OFFSET('BPC Data'!$F:$F,0,Summary!R$2),'BPC Data'!$E:$E,Summary!$D188,'BPC Data'!$B:$B,Summary!$C188)</f>
        <v>1050757</v>
      </c>
      <c r="S188" s="187">
        <f t="shared" ca="1" si="58"/>
        <v>12185145</v>
      </c>
      <c r="T188" s="181"/>
    </row>
    <row r="189" spans="1:20" s="17" customFormat="1" x14ac:dyDescent="0.25">
      <c r="A189" s="17">
        <f t="shared" si="74"/>
        <v>17</v>
      </c>
      <c r="B189"/>
      <c r="C189" t="str">
        <f>$F185</f>
        <v>SHC of Harbour Pointe</v>
      </c>
      <c r="D189" s="3" t="str">
        <f t="shared" si="62"/>
        <v>T_OPEX - Tenant Operating Expenses</v>
      </c>
      <c r="E189"/>
      <c r="F189" s="24" t="str">
        <f>_xll.EVDES(D189)</f>
        <v>Tenant Operating Expenses</v>
      </c>
      <c r="G189" s="19">
        <f ca="1">SUMIFS(OFFSET('BPC Data'!$F:$F,0,Summary!G$2),'BPC Data'!$E:$E,Summary!$D189,'BPC Data'!$B:$B,Summary!$C189)</f>
        <v>888732</v>
      </c>
      <c r="H189" s="183">
        <f ca="1">SUMIFS(OFFSET('BPC Data'!$F:$F,0,Summary!H$2),'BPC Data'!$E:$E,Summary!$D189,'BPC Data'!$B:$B,Summary!$C189)</f>
        <v>961732</v>
      </c>
      <c r="I189" s="19">
        <f ca="1">SUMIFS(OFFSET('BPC Data'!$F:$F,0,Summary!I$2),'BPC Data'!$E:$E,Summary!$D189,'BPC Data'!$B:$B,Summary!$C189)</f>
        <v>935153</v>
      </c>
      <c r="J189" s="183">
        <f ca="1">SUMIFS(OFFSET('BPC Data'!$F:$F,0,Summary!J$2),'BPC Data'!$E:$E,Summary!$D189,'BPC Data'!$B:$B,Summary!$C189)</f>
        <v>1059098</v>
      </c>
      <c r="K189" s="19">
        <f ca="1">SUMIFS(OFFSET('BPC Data'!$F:$F,0,Summary!K$2),'BPC Data'!$E:$E,Summary!$D189,'BPC Data'!$B:$B,Summary!$C189)</f>
        <v>897834</v>
      </c>
      <c r="L189" s="183">
        <f ca="1">SUMIFS(OFFSET('BPC Data'!$F:$F,0,Summary!L$2),'BPC Data'!$E:$E,Summary!$D189,'BPC Data'!$B:$B,Summary!$C189)</f>
        <v>848929</v>
      </c>
      <c r="M189" s="19">
        <f ca="1">SUMIFS(OFFSET('BPC Data'!$F:$F,0,Summary!M$2),'BPC Data'!$E:$E,Summary!$D189,'BPC Data'!$B:$B,Summary!$C189)</f>
        <v>917804</v>
      </c>
      <c r="N189" s="183">
        <f ca="1">SUMIFS(OFFSET('BPC Data'!$F:$F,0,Summary!N$2),'BPC Data'!$E:$E,Summary!$D189,'BPC Data'!$B:$B,Summary!$C189)</f>
        <v>851798</v>
      </c>
      <c r="O189" s="19">
        <f ca="1">SUMIFS(OFFSET('BPC Data'!$F:$F,0,Summary!O$2),'BPC Data'!$E:$E,Summary!$D189,'BPC Data'!$B:$B,Summary!$C189)</f>
        <v>914392</v>
      </c>
      <c r="P189" s="183">
        <f ca="1">SUMIFS(OFFSET('BPC Data'!$F:$F,0,Summary!P$2),'BPC Data'!$E:$E,Summary!$D189,'BPC Data'!$B:$B,Summary!$C189)</f>
        <v>953457</v>
      </c>
      <c r="Q189" s="19">
        <f ca="1">SUMIFS(OFFSET('BPC Data'!$F:$F,0,Summary!Q$2),'BPC Data'!$E:$E,Summary!$D189,'BPC Data'!$B:$B,Summary!$C189)</f>
        <v>971837</v>
      </c>
      <c r="R189" s="183">
        <f ca="1">SUMIFS(OFFSET('BPC Data'!$F:$F,0,Summary!R$2),'BPC Data'!$E:$E,Summary!$D189,'BPC Data'!$B:$B,Summary!$C189)</f>
        <v>888994</v>
      </c>
      <c r="S189" s="187">
        <f t="shared" ca="1" si="58"/>
        <v>11089760</v>
      </c>
      <c r="T189" s="181"/>
    </row>
    <row r="190" spans="1:20" s="17" customFormat="1" x14ac:dyDescent="0.25">
      <c r="A190" s="17">
        <f t="shared" si="74"/>
        <v>17</v>
      </c>
      <c r="B190"/>
      <c r="C190" t="str">
        <f>$F185</f>
        <v>SHC of Harbour Pointe</v>
      </c>
      <c r="D190" s="3" t="str">
        <f t="shared" si="62"/>
        <v>T_BAD_DEBT - Tenant Bad Debt Expense</v>
      </c>
      <c r="E190"/>
      <c r="F190" s="24" t="str">
        <f>_xll.EVDES(D190)</f>
        <v>Tenant Bad Debt Expense</v>
      </c>
      <c r="G190" s="19">
        <f ca="1">SUMIFS(OFFSET('BPC Data'!$F:$F,0,Summary!G$2),'BPC Data'!$E:$E,Summary!$D190,'BPC Data'!$B:$B,Summary!$C190)</f>
        <v>15151</v>
      </c>
      <c r="H190" s="183">
        <f ca="1">SUMIFS(OFFSET('BPC Data'!$F:$F,0,Summary!H$2),'BPC Data'!$E:$E,Summary!$D190,'BPC Data'!$B:$B,Summary!$C190)</f>
        <v>-220</v>
      </c>
      <c r="I190" s="19">
        <f ca="1">SUMIFS(OFFSET('BPC Data'!$F:$F,0,Summary!I$2),'BPC Data'!$E:$E,Summary!$D190,'BPC Data'!$B:$B,Summary!$C190)</f>
        <v>-25000</v>
      </c>
      <c r="J190" s="183">
        <f ca="1">SUMIFS(OFFSET('BPC Data'!$F:$F,0,Summary!J$2),'BPC Data'!$E:$E,Summary!$D190,'BPC Data'!$B:$B,Summary!$C190)</f>
        <v>15716</v>
      </c>
      <c r="K190" s="19">
        <f ca="1">SUMIFS(OFFSET('BPC Data'!$F:$F,0,Summary!K$2),'BPC Data'!$E:$E,Summary!$D190,'BPC Data'!$B:$B,Summary!$C190)</f>
        <v>27807</v>
      </c>
      <c r="L190" s="183">
        <f ca="1">SUMIFS(OFFSET('BPC Data'!$F:$F,0,Summary!L$2),'BPC Data'!$E:$E,Summary!$D190,'BPC Data'!$B:$B,Summary!$C190)</f>
        <v>23000</v>
      </c>
      <c r="M190" s="19">
        <f ca="1">SUMIFS(OFFSET('BPC Data'!$F:$F,0,Summary!M$2),'BPC Data'!$E:$E,Summary!$D190,'BPC Data'!$B:$B,Summary!$C190)</f>
        <v>0</v>
      </c>
      <c r="N190" s="183">
        <f ca="1">SUMIFS(OFFSET('BPC Data'!$F:$F,0,Summary!N$2),'BPC Data'!$E:$E,Summary!$D190,'BPC Data'!$B:$B,Summary!$C190)</f>
        <v>0</v>
      </c>
      <c r="O190" s="19">
        <f ca="1">SUMIFS(OFFSET('BPC Data'!$F:$F,0,Summary!O$2),'BPC Data'!$E:$E,Summary!$D190,'BPC Data'!$B:$B,Summary!$C190)</f>
        <v>0</v>
      </c>
      <c r="P190" s="183">
        <f ca="1">SUMIFS(OFFSET('BPC Data'!$F:$F,0,Summary!P$2),'BPC Data'!$E:$E,Summary!$D190,'BPC Data'!$B:$B,Summary!$C190)</f>
        <v>0</v>
      </c>
      <c r="Q190" s="19">
        <f ca="1">SUMIFS(OFFSET('BPC Data'!$F:$F,0,Summary!Q$2),'BPC Data'!$E:$E,Summary!$D190,'BPC Data'!$B:$B,Summary!$C190)</f>
        <v>0</v>
      </c>
      <c r="R190" s="183">
        <f ca="1">SUMIFS(OFFSET('BPC Data'!$F:$F,0,Summary!R$2),'BPC Data'!$E:$E,Summary!$D190,'BPC Data'!$B:$B,Summary!$C190)</f>
        <v>0</v>
      </c>
      <c r="S190" s="187">
        <f t="shared" ca="1" si="58"/>
        <v>56454</v>
      </c>
      <c r="T190" s="181"/>
    </row>
    <row r="191" spans="1:20" s="17" customFormat="1" x14ac:dyDescent="0.25">
      <c r="A191" s="17">
        <f t="shared" si="74"/>
        <v>17</v>
      </c>
      <c r="B191"/>
      <c r="C191" t="str">
        <f>$F185</f>
        <v>SHC of Harbour Pointe</v>
      </c>
      <c r="D191" s="2" t="str">
        <f t="shared" si="62"/>
        <v>T_EBITDARM - EBITDARM</v>
      </c>
      <c r="E191"/>
      <c r="F191" s="24" t="str">
        <f>_xll.EVDES(D191)</f>
        <v>EBITDARM</v>
      </c>
      <c r="G191" s="19">
        <f ca="1">SUMIFS(OFFSET('BPC Data'!$F:$F,0,Summary!G$2),'BPC Data'!$E:$E,Summary!$D191,'BPC Data'!$B:$B,Summary!$C191)</f>
        <v>125524</v>
      </c>
      <c r="H191" s="183">
        <f ca="1">SUMIFS(OFFSET('BPC Data'!$F:$F,0,Summary!H$2),'BPC Data'!$E:$E,Summary!$D191,'BPC Data'!$B:$B,Summary!$C191)</f>
        <v>144558</v>
      </c>
      <c r="I191" s="19">
        <f ca="1">SUMIFS(OFFSET('BPC Data'!$F:$F,0,Summary!I$2),'BPC Data'!$E:$E,Summary!$D191,'BPC Data'!$B:$B,Summary!$C191)</f>
        <v>260396</v>
      </c>
      <c r="J191" s="183">
        <f ca="1">SUMIFS(OFFSET('BPC Data'!$F:$F,0,Summary!J$2),'BPC Data'!$E:$E,Summary!$D191,'BPC Data'!$B:$B,Summary!$C191)</f>
        <v>-119435</v>
      </c>
      <c r="K191" s="19">
        <f ca="1">SUMIFS(OFFSET('BPC Data'!$F:$F,0,Summary!K$2),'BPC Data'!$E:$E,Summary!$D191,'BPC Data'!$B:$B,Summary!$C191)</f>
        <v>149122</v>
      </c>
      <c r="L191" s="183">
        <f ca="1">SUMIFS(OFFSET('BPC Data'!$F:$F,0,Summary!L$2),'BPC Data'!$E:$E,Summary!$D191,'BPC Data'!$B:$B,Summary!$C191)</f>
        <v>67746</v>
      </c>
      <c r="M191" s="19">
        <f ca="1">SUMIFS(OFFSET('BPC Data'!$F:$F,0,Summary!M$2),'BPC Data'!$E:$E,Summary!$D191,'BPC Data'!$B:$B,Summary!$C191)</f>
        <v>89123</v>
      </c>
      <c r="N191" s="183">
        <f ca="1">SUMIFS(OFFSET('BPC Data'!$F:$F,0,Summary!N$2),'BPC Data'!$E:$E,Summary!$D191,'BPC Data'!$B:$B,Summary!$C191)</f>
        <v>95282</v>
      </c>
      <c r="O191" s="19">
        <f ca="1">SUMIFS(OFFSET('BPC Data'!$F:$F,0,Summary!O$2),'BPC Data'!$E:$E,Summary!$D191,'BPC Data'!$B:$B,Summary!$C191)</f>
        <v>45713</v>
      </c>
      <c r="P191" s="183">
        <f ca="1">SUMIFS(OFFSET('BPC Data'!$F:$F,0,Summary!P$2),'BPC Data'!$E:$E,Summary!$D191,'BPC Data'!$B:$B,Summary!$C191)</f>
        <v>-3307</v>
      </c>
      <c r="Q191" s="19">
        <f ca="1">SUMIFS(OFFSET('BPC Data'!$F:$F,0,Summary!Q$2),'BPC Data'!$E:$E,Summary!$D191,'BPC Data'!$B:$B,Summary!$C191)</f>
        <v>78900</v>
      </c>
      <c r="R191" s="183">
        <f ca="1">SUMIFS(OFFSET('BPC Data'!$F:$F,0,Summary!R$2),'BPC Data'!$E:$E,Summary!$D191,'BPC Data'!$B:$B,Summary!$C191)</f>
        <v>161763</v>
      </c>
      <c r="S191" s="187">
        <f t="shared" ca="1" si="58"/>
        <v>1095385</v>
      </c>
      <c r="T191" s="181"/>
    </row>
    <row r="192" spans="1:20" s="17" customFormat="1" x14ac:dyDescent="0.25">
      <c r="A192" s="17">
        <f t="shared" si="74"/>
        <v>17</v>
      </c>
      <c r="B192"/>
      <c r="C192" t="str">
        <f>$F185</f>
        <v>SHC of Harbour Pointe</v>
      </c>
      <c r="D192" s="2" t="str">
        <f t="shared" si="62"/>
        <v>T_MGMT_FEE - Tenant Management Fee - Actual</v>
      </c>
      <c r="E192"/>
      <c r="F192" s="24" t="str">
        <f>_xll.EVDES(D192)</f>
        <v>Tenant Management Fee - Actual</v>
      </c>
      <c r="G192" s="19">
        <f ca="1">SUMIFS(OFFSET('BPC Data'!$F:$F,0,Summary!G$2),'BPC Data'!$E:$E,Summary!$D192,'BPC Data'!$B:$B,Summary!$C192)</f>
        <v>51220</v>
      </c>
      <c r="H192" s="183">
        <f ca="1">SUMIFS(OFFSET('BPC Data'!$F:$F,0,Summary!H$2),'BPC Data'!$E:$E,Summary!$D192,'BPC Data'!$B:$B,Summary!$C192)</f>
        <v>55868</v>
      </c>
      <c r="I192" s="19">
        <f ca="1">SUMIFS(OFFSET('BPC Data'!$F:$F,0,Summary!I$2),'BPC Data'!$E:$E,Summary!$D192,'BPC Data'!$B:$B,Summary!$C192)</f>
        <v>60375</v>
      </c>
      <c r="J192" s="183">
        <f ca="1">SUMIFS(OFFSET('BPC Data'!$F:$F,0,Summary!J$2),'BPC Data'!$E:$E,Summary!$D192,'BPC Data'!$B:$B,Summary!$C192)</f>
        <v>38073</v>
      </c>
      <c r="K192" s="19">
        <f ca="1">SUMIFS(OFFSET('BPC Data'!$F:$F,0,Summary!K$2),'BPC Data'!$E:$E,Summary!$D192,'BPC Data'!$B:$B,Summary!$C192)</f>
        <v>52871</v>
      </c>
      <c r="L192" s="183">
        <f ca="1">SUMIFS(OFFSET('BPC Data'!$F:$F,0,Summary!L$2),'BPC Data'!$E:$E,Summary!$D192,'BPC Data'!$B:$B,Summary!$C192)</f>
        <v>46292</v>
      </c>
      <c r="M192" s="19">
        <f ca="1">SUMIFS(OFFSET('BPC Data'!$F:$F,0,Summary!M$2),'BPC Data'!$E:$E,Summary!$D192,'BPC Data'!$B:$B,Summary!$C192)</f>
        <v>50850</v>
      </c>
      <c r="N192" s="183">
        <f ca="1">SUMIFS(OFFSET('BPC Data'!$F:$F,0,Summary!N$2),'BPC Data'!$E:$E,Summary!$D192,'BPC Data'!$B:$B,Summary!$C192)</f>
        <v>47828</v>
      </c>
      <c r="O192" s="19">
        <f ca="1">SUMIFS(OFFSET('BPC Data'!$F:$F,0,Summary!O$2),'BPC Data'!$E:$E,Summary!$D192,'BPC Data'!$B:$B,Summary!$C192)</f>
        <v>48485</v>
      </c>
      <c r="P192" s="183">
        <f ca="1">SUMIFS(OFFSET('BPC Data'!$F:$F,0,Summary!P$2),'BPC Data'!$E:$E,Summary!$D192,'BPC Data'!$B:$B,Summary!$C192)</f>
        <v>47983</v>
      </c>
      <c r="Q192" s="19">
        <f ca="1">SUMIFS(OFFSET('BPC Data'!$F:$F,0,Summary!Q$2),'BPC Data'!$E:$E,Summary!$D192,'BPC Data'!$B:$B,Summary!$C192)</f>
        <v>53062</v>
      </c>
      <c r="R192" s="183">
        <f ca="1">SUMIFS(OFFSET('BPC Data'!$F:$F,0,Summary!R$2),'BPC Data'!$E:$E,Summary!$D192,'BPC Data'!$B:$B,Summary!$C192)</f>
        <v>53063</v>
      </c>
      <c r="S192" s="187">
        <f t="shared" ca="1" si="58"/>
        <v>605970</v>
      </c>
      <c r="T192" s="181"/>
    </row>
    <row r="193" spans="1:20" s="17" customFormat="1" x14ac:dyDescent="0.25">
      <c r="A193" s="17">
        <f t="shared" si="74"/>
        <v>17</v>
      </c>
      <c r="B193"/>
      <c r="C193" t="str">
        <f>$F185</f>
        <v>SHC of Harbour Pointe</v>
      </c>
      <c r="D193" s="1" t="str">
        <f t="shared" si="62"/>
        <v>T_EBITDAR - EBITDAR</v>
      </c>
      <c r="E193"/>
      <c r="F193" s="24" t="str">
        <f>_xll.EVDES(D193)</f>
        <v>EBITDAR</v>
      </c>
      <c r="G193" s="19">
        <f ca="1">SUMIFS(OFFSET('BPC Data'!$F:$F,0,Summary!G$2),'BPC Data'!$E:$E,Summary!$D193,'BPC Data'!$B:$B,Summary!$C193)</f>
        <v>74304</v>
      </c>
      <c r="H193" s="183">
        <f ca="1">SUMIFS(OFFSET('BPC Data'!$F:$F,0,Summary!H$2),'BPC Data'!$E:$E,Summary!$D193,'BPC Data'!$B:$B,Summary!$C193)</f>
        <v>88690</v>
      </c>
      <c r="I193" s="19">
        <f ca="1">SUMIFS(OFFSET('BPC Data'!$F:$F,0,Summary!I$2),'BPC Data'!$E:$E,Summary!$D193,'BPC Data'!$B:$B,Summary!$C193)</f>
        <v>200021</v>
      </c>
      <c r="J193" s="183">
        <f ca="1">SUMIFS(OFFSET('BPC Data'!$F:$F,0,Summary!J$2),'BPC Data'!$E:$E,Summary!$D193,'BPC Data'!$B:$B,Summary!$C193)</f>
        <v>-157508</v>
      </c>
      <c r="K193" s="19">
        <f ca="1">SUMIFS(OFFSET('BPC Data'!$F:$F,0,Summary!K$2),'BPC Data'!$E:$E,Summary!$D193,'BPC Data'!$B:$B,Summary!$C193)</f>
        <v>96251</v>
      </c>
      <c r="L193" s="183">
        <f ca="1">SUMIFS(OFFSET('BPC Data'!$F:$F,0,Summary!L$2),'BPC Data'!$E:$E,Summary!$D193,'BPC Data'!$B:$B,Summary!$C193)</f>
        <v>21454</v>
      </c>
      <c r="M193" s="19">
        <f ca="1">SUMIFS(OFFSET('BPC Data'!$F:$F,0,Summary!M$2),'BPC Data'!$E:$E,Summary!$D193,'BPC Data'!$B:$B,Summary!$C193)</f>
        <v>38273</v>
      </c>
      <c r="N193" s="183">
        <f ca="1">SUMIFS(OFFSET('BPC Data'!$F:$F,0,Summary!N$2),'BPC Data'!$E:$E,Summary!$D193,'BPC Data'!$B:$B,Summary!$C193)</f>
        <v>47454</v>
      </c>
      <c r="O193" s="19">
        <f ca="1">SUMIFS(OFFSET('BPC Data'!$F:$F,0,Summary!O$2),'BPC Data'!$E:$E,Summary!$D193,'BPC Data'!$B:$B,Summary!$C193)</f>
        <v>-2772</v>
      </c>
      <c r="P193" s="183">
        <f ca="1">SUMIFS(OFFSET('BPC Data'!$F:$F,0,Summary!P$2),'BPC Data'!$E:$E,Summary!$D193,'BPC Data'!$B:$B,Summary!$C193)</f>
        <v>-51290</v>
      </c>
      <c r="Q193" s="19">
        <f ca="1">SUMIFS(OFFSET('BPC Data'!$F:$F,0,Summary!Q$2),'BPC Data'!$E:$E,Summary!$D193,'BPC Data'!$B:$B,Summary!$C193)</f>
        <v>25838</v>
      </c>
      <c r="R193" s="183">
        <f ca="1">SUMIFS(OFFSET('BPC Data'!$F:$F,0,Summary!R$2),'BPC Data'!$E:$E,Summary!$D193,'BPC Data'!$B:$B,Summary!$C193)</f>
        <v>108700</v>
      </c>
      <c r="S193" s="187">
        <f t="shared" ca="1" si="58"/>
        <v>489415</v>
      </c>
      <c r="T193" s="181"/>
    </row>
    <row r="194" spans="1:20" s="17" customFormat="1" x14ac:dyDescent="0.25">
      <c r="A194" s="17">
        <f t="shared" si="74"/>
        <v>17</v>
      </c>
      <c r="B194"/>
      <c r="C194" t="str">
        <f>$F185</f>
        <v>SHC of Harbour Pointe</v>
      </c>
      <c r="D194" s="1" t="str">
        <f t="shared" si="62"/>
        <v>T_RENT_EXP - Tenant Rent Expense</v>
      </c>
      <c r="E194"/>
      <c r="F194" s="24" t="str">
        <f>_xll.EVDES(D194)</f>
        <v>Tenant Rent Expense</v>
      </c>
      <c r="G194" s="19">
        <f ca="1">SUMIFS(OFFSET('BPC Data'!$F:$F,0,Summary!G$2),'BPC Data'!$E:$E,Summary!$D194,'BPC Data'!$B:$B,Summary!$C194)</f>
        <v>54622</v>
      </c>
      <c r="H194" s="183">
        <f ca="1">SUMIFS(OFFSET('BPC Data'!$F:$F,0,Summary!H$2),'BPC Data'!$E:$E,Summary!$D194,'BPC Data'!$B:$B,Summary!$C194)</f>
        <v>54622</v>
      </c>
      <c r="I194" s="19">
        <f ca="1">SUMIFS(OFFSET('BPC Data'!$F:$F,0,Summary!I$2),'BPC Data'!$E:$E,Summary!$D194,'BPC Data'!$B:$B,Summary!$C194)</f>
        <v>54622</v>
      </c>
      <c r="J194" s="183">
        <f ca="1">SUMIFS(OFFSET('BPC Data'!$F:$F,0,Summary!J$2),'BPC Data'!$E:$E,Summary!$D194,'BPC Data'!$B:$B,Summary!$C194)</f>
        <v>55988</v>
      </c>
      <c r="K194" s="19">
        <f ca="1">SUMIFS(OFFSET('BPC Data'!$F:$F,0,Summary!K$2),'BPC Data'!$E:$E,Summary!$D194,'BPC Data'!$B:$B,Summary!$C194)</f>
        <v>55988</v>
      </c>
      <c r="L194" s="183">
        <f ca="1">SUMIFS(OFFSET('BPC Data'!$F:$F,0,Summary!L$2),'BPC Data'!$E:$E,Summary!$D194,'BPC Data'!$B:$B,Summary!$C194)</f>
        <v>55988</v>
      </c>
      <c r="M194" s="19">
        <f ca="1">SUMIFS(OFFSET('BPC Data'!$F:$F,0,Summary!M$2),'BPC Data'!$E:$E,Summary!$D194,'BPC Data'!$B:$B,Summary!$C194)</f>
        <v>55988</v>
      </c>
      <c r="N194" s="183">
        <f ca="1">SUMIFS(OFFSET('BPC Data'!$F:$F,0,Summary!N$2),'BPC Data'!$E:$E,Summary!$D194,'BPC Data'!$B:$B,Summary!$C194)</f>
        <v>55988</v>
      </c>
      <c r="O194" s="19">
        <f ca="1">SUMIFS(OFFSET('BPC Data'!$F:$F,0,Summary!O$2),'BPC Data'!$E:$E,Summary!$D194,'BPC Data'!$B:$B,Summary!$C194)</f>
        <v>55988</v>
      </c>
      <c r="P194" s="183">
        <f ca="1">SUMIFS(OFFSET('BPC Data'!$F:$F,0,Summary!P$2),'BPC Data'!$E:$E,Summary!$D194,'BPC Data'!$B:$B,Summary!$C194)</f>
        <v>55988</v>
      </c>
      <c r="Q194" s="19">
        <f ca="1">SUMIFS(OFFSET('BPC Data'!$F:$F,0,Summary!Q$2),'BPC Data'!$E:$E,Summary!$D194,'BPC Data'!$B:$B,Summary!$C194)</f>
        <v>55988</v>
      </c>
      <c r="R194" s="183">
        <f ca="1">SUMIFS(OFFSET('BPC Data'!$F:$F,0,Summary!R$2),'BPC Data'!$E:$E,Summary!$D194,'BPC Data'!$B:$B,Summary!$C194)</f>
        <v>55988</v>
      </c>
      <c r="S194" s="187">
        <f t="shared" ca="1" si="58"/>
        <v>667758</v>
      </c>
      <c r="T194" s="181"/>
    </row>
    <row r="195" spans="1:20" s="17" customFormat="1" x14ac:dyDescent="0.25">
      <c r="A195" s="17">
        <f t="shared" si="74"/>
        <v>17</v>
      </c>
      <c r="B195"/>
      <c r="C195"/>
      <c r="D195" s="1" t="str">
        <f t="shared" si="62"/>
        <v>x</v>
      </c>
      <c r="E195"/>
      <c r="F195" s="24" t="s">
        <v>0</v>
      </c>
      <c r="G195" s="12">
        <f ca="1">G193/G194</f>
        <v>1.3603310021603017</v>
      </c>
      <c r="H195" s="184">
        <f t="shared" ref="H195:I195" ca="1" si="75">H193/H194</f>
        <v>1.6237047343561202</v>
      </c>
      <c r="I195" s="12">
        <f t="shared" ca="1" si="75"/>
        <v>3.6619127823953717</v>
      </c>
      <c r="J195" s="184">
        <f t="shared" ref="J195:R195" ca="1" si="76">J193/J194</f>
        <v>-2.81324569550618</v>
      </c>
      <c r="K195" s="12">
        <f t="shared" ca="1" si="76"/>
        <v>1.7191362434807458</v>
      </c>
      <c r="L195" s="184">
        <f t="shared" ca="1" si="76"/>
        <v>0.3831892548403229</v>
      </c>
      <c r="M195" s="12">
        <f t="shared" ca="1" si="76"/>
        <v>0.6835929127670215</v>
      </c>
      <c r="N195" s="184">
        <f t="shared" ca="1" si="76"/>
        <v>0.84757448024576698</v>
      </c>
      <c r="O195" s="12">
        <f t="shared" ca="1" si="76"/>
        <v>-4.9510609416303496E-2</v>
      </c>
      <c r="P195" s="184">
        <f t="shared" ca="1" si="76"/>
        <v>-0.91608916196327783</v>
      </c>
      <c r="Q195" s="12">
        <f t="shared" ca="1" si="76"/>
        <v>0.46149174823176398</v>
      </c>
      <c r="R195" s="184">
        <f t="shared" ca="1" si="76"/>
        <v>1.9414874615989139</v>
      </c>
      <c r="S195" s="187">
        <f t="shared" ca="1" si="58"/>
        <v>8.903575153190566</v>
      </c>
      <c r="T195" s="181"/>
    </row>
    <row r="196" spans="1:20" s="17" customFormat="1" x14ac:dyDescent="0.25">
      <c r="A196" s="17">
        <f>IF(AND(D196&lt;&gt;"",C196=""),A195+1,A195)</f>
        <v>18</v>
      </c>
      <c r="B196" s="5"/>
      <c r="C196" s="5"/>
      <c r="D196" s="5" t="str">
        <f t="shared" si="62"/>
        <v>x</v>
      </c>
      <c r="E196" s="5"/>
      <c r="F196" s="23" t="str">
        <f>INDEX(PropertyList!$D:$D,MATCH(Summary!$A196,PropertyList!$C:$C,0))</f>
        <v>Harrodsburg Health &amp; Rehabilitation Center</v>
      </c>
      <c r="G196" s="11"/>
      <c r="H196" s="182"/>
      <c r="I196" s="11"/>
      <c r="J196" s="182"/>
      <c r="K196" s="11"/>
      <c r="L196" s="182"/>
      <c r="M196" s="11"/>
      <c r="N196" s="182"/>
      <c r="O196" s="11"/>
      <c r="P196" s="182"/>
      <c r="Q196" s="11"/>
      <c r="R196" s="182"/>
      <c r="S196" s="187">
        <f t="shared" si="58"/>
        <v>0</v>
      </c>
      <c r="T196" s="181"/>
    </row>
    <row r="197" spans="1:20" s="17" customFormat="1" x14ac:dyDescent="0.25">
      <c r="A197" s="17">
        <f>IF(AND(F197&lt;&gt;"",D197=""),A196+1,A196)</f>
        <v>18</v>
      </c>
      <c r="C197" t="str">
        <f>$F196</f>
        <v>Harrodsburg Health &amp; Rehabilitation Center</v>
      </c>
      <c r="D197" s="3" t="str">
        <f t="shared" si="62"/>
        <v>PAY_PAT_DAYS - Total Payor Patient Days</v>
      </c>
      <c r="F197" s="24" t="str">
        <f>_xll.EVDES(D197)</f>
        <v>Total Payor Patient Days</v>
      </c>
      <c r="G197" s="19">
        <f ca="1">SUMIFS(OFFSET('BPC Data'!$F:$F,0,Summary!G$2),'BPC Data'!$E:$E,Summary!$D197,'BPC Data'!$B:$B,Summary!$C197)</f>
        <v>2379</v>
      </c>
      <c r="H197" s="183">
        <f ca="1">SUMIFS(OFFSET('BPC Data'!$F:$F,0,Summary!H$2),'BPC Data'!$E:$E,Summary!$D197,'BPC Data'!$B:$B,Summary!$C197)</f>
        <v>2017</v>
      </c>
      <c r="I197" s="19">
        <f ca="1">SUMIFS(OFFSET('BPC Data'!$F:$F,0,Summary!I$2),'BPC Data'!$E:$E,Summary!$D197,'BPC Data'!$B:$B,Summary!$C197)</f>
        <v>2254</v>
      </c>
      <c r="J197" s="183">
        <f ca="1">SUMIFS(OFFSET('BPC Data'!$F:$F,0,Summary!J$2),'BPC Data'!$E:$E,Summary!$D197,'BPC Data'!$B:$B,Summary!$C197)</f>
        <v>2406</v>
      </c>
      <c r="K197" s="19">
        <f ca="1">SUMIFS(OFFSET('BPC Data'!$F:$F,0,Summary!K$2),'BPC Data'!$E:$E,Summary!$D197,'BPC Data'!$B:$B,Summary!$C197)</f>
        <v>2294</v>
      </c>
      <c r="L197" s="183">
        <f ca="1">SUMIFS(OFFSET('BPC Data'!$F:$F,0,Summary!L$2),'BPC Data'!$E:$E,Summary!$D197,'BPC Data'!$B:$B,Summary!$C197)</f>
        <v>1905</v>
      </c>
      <c r="M197" s="19">
        <f ca="1">SUMIFS(OFFSET('BPC Data'!$F:$F,0,Summary!M$2),'BPC Data'!$E:$E,Summary!$D197,'BPC Data'!$B:$B,Summary!$C197)</f>
        <v>2198</v>
      </c>
      <c r="N197" s="183">
        <f ca="1">SUMIFS(OFFSET('BPC Data'!$F:$F,0,Summary!N$2),'BPC Data'!$E:$E,Summary!$D197,'BPC Data'!$B:$B,Summary!$C197)</f>
        <v>2175</v>
      </c>
      <c r="O197" s="19">
        <f ca="1">SUMIFS(OFFSET('BPC Data'!$F:$F,0,Summary!O$2),'BPC Data'!$E:$E,Summary!$D197,'BPC Data'!$B:$B,Summary!$C197)</f>
        <v>2500</v>
      </c>
      <c r="P197" s="183">
        <f ca="1">SUMIFS(OFFSET('BPC Data'!$F:$F,0,Summary!P$2),'BPC Data'!$E:$E,Summary!$D197,'BPC Data'!$B:$B,Summary!$C197)</f>
        <v>2604</v>
      </c>
      <c r="Q197" s="19">
        <f ca="1">SUMIFS(OFFSET('BPC Data'!$F:$F,0,Summary!Q$2),'BPC Data'!$E:$E,Summary!$D197,'BPC Data'!$B:$B,Summary!$C197)</f>
        <v>2843</v>
      </c>
      <c r="R197" s="183">
        <f ca="1">SUMIFS(OFFSET('BPC Data'!$F:$F,0,Summary!R$2),'BPC Data'!$E:$E,Summary!$D197,'BPC Data'!$B:$B,Summary!$C197)</f>
        <v>2709</v>
      </c>
      <c r="S197" s="187">
        <f t="shared" ca="1" si="58"/>
        <v>28284</v>
      </c>
      <c r="T197" s="181"/>
    </row>
    <row r="198" spans="1:20" s="17" customFormat="1" x14ac:dyDescent="0.25">
      <c r="A198" s="17">
        <f t="shared" ref="A198:A206" si="77">IF(AND(F198&lt;&gt;"",D198=""),A197+1,A197)</f>
        <v>18</v>
      </c>
      <c r="C198" t="str">
        <f>$F196</f>
        <v>Harrodsburg Health &amp; Rehabilitation Center</v>
      </c>
      <c r="D198" s="3" t="str">
        <f t="shared" si="62"/>
        <v>A_BEDS_TOTAL - Total Available Beds</v>
      </c>
      <c r="F198" s="24" t="str">
        <f>_xll.EVDES(D198)</f>
        <v>Total Available Beds</v>
      </c>
      <c r="G198" s="19">
        <f ca="1">SUMIFS(OFFSET('BPC Data'!$F:$F,0,Summary!G$2),'BPC Data'!$E:$E,Summary!$D198,'BPC Data'!$B:$B,Summary!$C198)</f>
        <v>112</v>
      </c>
      <c r="H198" s="183">
        <f ca="1">SUMIFS(OFFSET('BPC Data'!$F:$F,0,Summary!H$2),'BPC Data'!$E:$E,Summary!$D198,'BPC Data'!$B:$B,Summary!$C198)</f>
        <v>112</v>
      </c>
      <c r="I198" s="19">
        <f ca="1">SUMIFS(OFFSET('BPC Data'!$F:$F,0,Summary!I$2),'BPC Data'!$E:$E,Summary!$D198,'BPC Data'!$B:$B,Summary!$C198)</f>
        <v>112</v>
      </c>
      <c r="J198" s="183">
        <f ca="1">SUMIFS(OFFSET('BPC Data'!$F:$F,0,Summary!J$2),'BPC Data'!$E:$E,Summary!$D198,'BPC Data'!$B:$B,Summary!$C198)</f>
        <v>112</v>
      </c>
      <c r="K198" s="19">
        <f ca="1">SUMIFS(OFFSET('BPC Data'!$F:$F,0,Summary!K$2),'BPC Data'!$E:$E,Summary!$D198,'BPC Data'!$B:$B,Summary!$C198)</f>
        <v>112</v>
      </c>
      <c r="L198" s="183">
        <f ca="1">SUMIFS(OFFSET('BPC Data'!$F:$F,0,Summary!L$2),'BPC Data'!$E:$E,Summary!$D198,'BPC Data'!$B:$B,Summary!$C198)</f>
        <v>112</v>
      </c>
      <c r="M198" s="19">
        <f ca="1">SUMIFS(OFFSET('BPC Data'!$F:$F,0,Summary!M$2),'BPC Data'!$E:$E,Summary!$D198,'BPC Data'!$B:$B,Summary!$C198)</f>
        <v>112</v>
      </c>
      <c r="N198" s="183">
        <f ca="1">SUMIFS(OFFSET('BPC Data'!$F:$F,0,Summary!N$2),'BPC Data'!$E:$E,Summary!$D198,'BPC Data'!$B:$B,Summary!$C198)</f>
        <v>112</v>
      </c>
      <c r="O198" s="19">
        <f ca="1">SUMIFS(OFFSET('BPC Data'!$F:$F,0,Summary!O$2),'BPC Data'!$E:$E,Summary!$D198,'BPC Data'!$B:$B,Summary!$C198)</f>
        <v>112</v>
      </c>
      <c r="P198" s="183">
        <f ca="1">SUMIFS(OFFSET('BPC Data'!$F:$F,0,Summary!P$2),'BPC Data'!$E:$E,Summary!$D198,'BPC Data'!$B:$B,Summary!$C198)</f>
        <v>112</v>
      </c>
      <c r="Q198" s="19">
        <f ca="1">SUMIFS(OFFSET('BPC Data'!$F:$F,0,Summary!Q$2),'BPC Data'!$E:$E,Summary!$D198,'BPC Data'!$B:$B,Summary!$C198)</f>
        <v>112</v>
      </c>
      <c r="R198" s="183">
        <f ca="1">SUMIFS(OFFSET('BPC Data'!$F:$F,0,Summary!R$2),'BPC Data'!$E:$E,Summary!$D198,'BPC Data'!$B:$B,Summary!$C198)</f>
        <v>112</v>
      </c>
      <c r="S198" s="187">
        <f ca="1">R198</f>
        <v>112</v>
      </c>
      <c r="T198" s="181"/>
    </row>
    <row r="199" spans="1:20" s="17" customFormat="1" x14ac:dyDescent="0.25">
      <c r="A199" s="17">
        <f t="shared" si="77"/>
        <v>18</v>
      </c>
      <c r="B199"/>
      <c r="C199" t="str">
        <f>$F196</f>
        <v>Harrodsburg Health &amp; Rehabilitation Center</v>
      </c>
      <c r="D199" s="3" t="str">
        <f t="shared" si="62"/>
        <v>T_REVENUES - Total Tenant Revenues</v>
      </c>
      <c r="E199"/>
      <c r="F199" s="24" t="str">
        <f>_xll.EVDES(D199)</f>
        <v>Total Tenant Revenues</v>
      </c>
      <c r="G199" s="19">
        <f ca="1">SUMIFS(OFFSET('BPC Data'!$F:$F,0,Summary!G$2),'BPC Data'!$E:$E,Summary!$D199,'BPC Data'!$B:$B,Summary!$C199)</f>
        <v>789629</v>
      </c>
      <c r="H199" s="183">
        <f ca="1">SUMIFS(OFFSET('BPC Data'!$F:$F,0,Summary!H$2),'BPC Data'!$E:$E,Summary!$D199,'BPC Data'!$B:$B,Summary!$C199)</f>
        <v>674154</v>
      </c>
      <c r="I199" s="19">
        <f ca="1">SUMIFS(OFFSET('BPC Data'!$F:$F,0,Summary!I$2),'BPC Data'!$E:$E,Summary!$D199,'BPC Data'!$B:$B,Summary!$C199)</f>
        <v>828638</v>
      </c>
      <c r="J199" s="183">
        <f ca="1">SUMIFS(OFFSET('BPC Data'!$F:$F,0,Summary!J$2),'BPC Data'!$E:$E,Summary!$D199,'BPC Data'!$B:$B,Summary!$C199)</f>
        <v>908673</v>
      </c>
      <c r="K199" s="19">
        <f ca="1">SUMIFS(OFFSET('BPC Data'!$F:$F,0,Summary!K$2),'BPC Data'!$E:$E,Summary!$D199,'BPC Data'!$B:$B,Summary!$C199)</f>
        <v>546187</v>
      </c>
      <c r="L199" s="183">
        <f ca="1">SUMIFS(OFFSET('BPC Data'!$F:$F,0,Summary!L$2),'BPC Data'!$E:$E,Summary!$D199,'BPC Data'!$B:$B,Summary!$C199)</f>
        <v>434553</v>
      </c>
      <c r="M199" s="19">
        <f ca="1">SUMIFS(OFFSET('BPC Data'!$F:$F,0,Summary!M$2),'BPC Data'!$E:$E,Summary!$D199,'BPC Data'!$B:$B,Summary!$C199)</f>
        <v>635941</v>
      </c>
      <c r="N199" s="183">
        <f ca="1">SUMIFS(OFFSET('BPC Data'!$F:$F,0,Summary!N$2),'BPC Data'!$E:$E,Summary!$D199,'BPC Data'!$B:$B,Summary!$C199)</f>
        <v>550952</v>
      </c>
      <c r="O199" s="19">
        <f ca="1">SUMIFS(OFFSET('BPC Data'!$F:$F,0,Summary!O$2),'BPC Data'!$E:$E,Summary!$D199,'BPC Data'!$B:$B,Summary!$C199)</f>
        <v>667440</v>
      </c>
      <c r="P199" s="183">
        <f ca="1">SUMIFS(OFFSET('BPC Data'!$F:$F,0,Summary!P$2),'BPC Data'!$E:$E,Summary!$D199,'BPC Data'!$B:$B,Summary!$C199)</f>
        <v>680436</v>
      </c>
      <c r="Q199" s="19">
        <f ca="1">SUMIFS(OFFSET('BPC Data'!$F:$F,0,Summary!Q$2),'BPC Data'!$E:$E,Summary!$D199,'BPC Data'!$B:$B,Summary!$C199)</f>
        <v>759910</v>
      </c>
      <c r="R199" s="183">
        <f ca="1">SUMIFS(OFFSET('BPC Data'!$F:$F,0,Summary!R$2),'BPC Data'!$E:$E,Summary!$D199,'BPC Data'!$B:$B,Summary!$C199)</f>
        <v>728339</v>
      </c>
      <c r="S199" s="187">
        <f t="shared" ca="1" si="58"/>
        <v>8204852</v>
      </c>
      <c r="T199" s="181"/>
    </row>
    <row r="200" spans="1:20" s="17" customFormat="1" x14ac:dyDescent="0.25">
      <c r="A200" s="17">
        <f t="shared" si="77"/>
        <v>18</v>
      </c>
      <c r="B200"/>
      <c r="C200" t="str">
        <f>$F196</f>
        <v>Harrodsburg Health &amp; Rehabilitation Center</v>
      </c>
      <c r="D200" s="3" t="str">
        <f t="shared" si="62"/>
        <v>T_OPEX - Tenant Operating Expenses</v>
      </c>
      <c r="E200"/>
      <c r="F200" s="24" t="str">
        <f>_xll.EVDES(D200)</f>
        <v>Tenant Operating Expenses</v>
      </c>
      <c r="G200" s="19">
        <f ca="1">SUMIFS(OFFSET('BPC Data'!$F:$F,0,Summary!G$2),'BPC Data'!$E:$E,Summary!$D200,'BPC Data'!$B:$B,Summary!$C200)</f>
        <v>547380</v>
      </c>
      <c r="H200" s="183">
        <f ca="1">SUMIFS(OFFSET('BPC Data'!$F:$F,0,Summary!H$2),'BPC Data'!$E:$E,Summary!$D200,'BPC Data'!$B:$B,Summary!$C200)</f>
        <v>599786</v>
      </c>
      <c r="I200" s="19">
        <f ca="1">SUMIFS(OFFSET('BPC Data'!$F:$F,0,Summary!I$2),'BPC Data'!$E:$E,Summary!$D200,'BPC Data'!$B:$B,Summary!$C200)</f>
        <v>573068</v>
      </c>
      <c r="J200" s="183">
        <f ca="1">SUMIFS(OFFSET('BPC Data'!$F:$F,0,Summary!J$2),'BPC Data'!$E:$E,Summary!$D200,'BPC Data'!$B:$B,Summary!$C200)</f>
        <v>655783</v>
      </c>
      <c r="K200" s="19">
        <f ca="1">SUMIFS(OFFSET('BPC Data'!$F:$F,0,Summary!K$2),'BPC Data'!$E:$E,Summary!$D200,'BPC Data'!$B:$B,Summary!$C200)</f>
        <v>516543</v>
      </c>
      <c r="L200" s="183">
        <f ca="1">SUMIFS(OFFSET('BPC Data'!$F:$F,0,Summary!L$2),'BPC Data'!$E:$E,Summary!$D200,'BPC Data'!$B:$B,Summary!$C200)</f>
        <v>436745</v>
      </c>
      <c r="M200" s="19">
        <f ca="1">SUMIFS(OFFSET('BPC Data'!$F:$F,0,Summary!M$2),'BPC Data'!$E:$E,Summary!$D200,'BPC Data'!$B:$B,Summary!$C200)</f>
        <v>515261</v>
      </c>
      <c r="N200" s="183">
        <f ca="1">SUMIFS(OFFSET('BPC Data'!$F:$F,0,Summary!N$2),'BPC Data'!$E:$E,Summary!$D200,'BPC Data'!$B:$B,Summary!$C200)</f>
        <v>504440</v>
      </c>
      <c r="O200" s="19">
        <f ca="1">SUMIFS(OFFSET('BPC Data'!$F:$F,0,Summary!O$2),'BPC Data'!$E:$E,Summary!$D200,'BPC Data'!$B:$B,Summary!$C200)</f>
        <v>487081</v>
      </c>
      <c r="P200" s="183">
        <f ca="1">SUMIFS(OFFSET('BPC Data'!$F:$F,0,Summary!P$2),'BPC Data'!$E:$E,Summary!$D200,'BPC Data'!$B:$B,Summary!$C200)</f>
        <v>519029</v>
      </c>
      <c r="Q200" s="19">
        <f ca="1">SUMIFS(OFFSET('BPC Data'!$F:$F,0,Summary!Q$2),'BPC Data'!$E:$E,Summary!$D200,'BPC Data'!$B:$B,Summary!$C200)</f>
        <v>558549</v>
      </c>
      <c r="R200" s="183">
        <f ca="1">SUMIFS(OFFSET('BPC Data'!$F:$F,0,Summary!R$2),'BPC Data'!$E:$E,Summary!$D200,'BPC Data'!$B:$B,Summary!$C200)</f>
        <v>611435</v>
      </c>
      <c r="S200" s="187">
        <f t="shared" ca="1" si="58"/>
        <v>6525100</v>
      </c>
      <c r="T200" s="181"/>
    </row>
    <row r="201" spans="1:20" s="17" customFormat="1" x14ac:dyDescent="0.25">
      <c r="A201" s="17">
        <f t="shared" si="77"/>
        <v>18</v>
      </c>
      <c r="B201"/>
      <c r="C201" t="str">
        <f>$F196</f>
        <v>Harrodsburg Health &amp; Rehabilitation Center</v>
      </c>
      <c r="D201" s="3" t="str">
        <f t="shared" si="62"/>
        <v>T_BAD_DEBT - Tenant Bad Debt Expense</v>
      </c>
      <c r="E201"/>
      <c r="F201" s="24" t="str">
        <f>_xll.EVDES(D201)</f>
        <v>Tenant Bad Debt Expense</v>
      </c>
      <c r="G201" s="19">
        <f ca="1">SUMIFS(OFFSET('BPC Data'!$F:$F,0,Summary!G$2),'BPC Data'!$E:$E,Summary!$D201,'BPC Data'!$B:$B,Summary!$C201)</f>
        <v>7500</v>
      </c>
      <c r="H201" s="183">
        <f ca="1">SUMIFS(OFFSET('BPC Data'!$F:$F,0,Summary!H$2),'BPC Data'!$E:$E,Summary!$D201,'BPC Data'!$B:$B,Summary!$C201)</f>
        <v>8988</v>
      </c>
      <c r="I201" s="19">
        <f ca="1">SUMIFS(OFFSET('BPC Data'!$F:$F,0,Summary!I$2),'BPC Data'!$E:$E,Summary!$D201,'BPC Data'!$B:$B,Summary!$C201)</f>
        <v>5000</v>
      </c>
      <c r="J201" s="183">
        <f ca="1">SUMIFS(OFFSET('BPC Data'!$F:$F,0,Summary!J$2),'BPC Data'!$E:$E,Summary!$D201,'BPC Data'!$B:$B,Summary!$C201)</f>
        <v>10210</v>
      </c>
      <c r="K201" s="19">
        <f ca="1">SUMIFS(OFFSET('BPC Data'!$F:$F,0,Summary!K$2),'BPC Data'!$E:$E,Summary!$D201,'BPC Data'!$B:$B,Summary!$C201)</f>
        <v>10000</v>
      </c>
      <c r="L201" s="183">
        <f ca="1">SUMIFS(OFFSET('BPC Data'!$F:$F,0,Summary!L$2),'BPC Data'!$E:$E,Summary!$D201,'BPC Data'!$B:$B,Summary!$C201)</f>
        <v>10000</v>
      </c>
      <c r="M201" s="19">
        <f ca="1">SUMIFS(OFFSET('BPC Data'!$F:$F,0,Summary!M$2),'BPC Data'!$E:$E,Summary!$D201,'BPC Data'!$B:$B,Summary!$C201)</f>
        <v>0</v>
      </c>
      <c r="N201" s="183">
        <f ca="1">SUMIFS(OFFSET('BPC Data'!$F:$F,0,Summary!N$2),'BPC Data'!$E:$E,Summary!$D201,'BPC Data'!$B:$B,Summary!$C201)</f>
        <v>5000</v>
      </c>
      <c r="O201" s="19">
        <f ca="1">SUMIFS(OFFSET('BPC Data'!$F:$F,0,Summary!O$2),'BPC Data'!$E:$E,Summary!$D201,'BPC Data'!$B:$B,Summary!$C201)</f>
        <v>0</v>
      </c>
      <c r="P201" s="183">
        <f ca="1">SUMIFS(OFFSET('BPC Data'!$F:$F,0,Summary!P$2),'BPC Data'!$E:$E,Summary!$D201,'BPC Data'!$B:$B,Summary!$C201)</f>
        <v>0</v>
      </c>
      <c r="Q201" s="19">
        <f ca="1">SUMIFS(OFFSET('BPC Data'!$F:$F,0,Summary!Q$2),'BPC Data'!$E:$E,Summary!$D201,'BPC Data'!$B:$B,Summary!$C201)</f>
        <v>0</v>
      </c>
      <c r="R201" s="183">
        <f ca="1">SUMIFS(OFFSET('BPC Data'!$F:$F,0,Summary!R$2),'BPC Data'!$E:$E,Summary!$D201,'BPC Data'!$B:$B,Summary!$C201)</f>
        <v>0</v>
      </c>
      <c r="S201" s="187">
        <f t="shared" ca="1" si="58"/>
        <v>56698</v>
      </c>
      <c r="T201" s="181"/>
    </row>
    <row r="202" spans="1:20" s="17" customFormat="1" x14ac:dyDescent="0.25">
      <c r="A202" s="17">
        <f t="shared" si="77"/>
        <v>18</v>
      </c>
      <c r="B202"/>
      <c r="C202" t="str">
        <f>$F196</f>
        <v>Harrodsburg Health &amp; Rehabilitation Center</v>
      </c>
      <c r="D202" s="2" t="str">
        <f t="shared" si="62"/>
        <v>T_EBITDARM - EBITDARM</v>
      </c>
      <c r="E202"/>
      <c r="F202" s="24" t="str">
        <f>_xll.EVDES(D202)</f>
        <v>EBITDARM</v>
      </c>
      <c r="G202" s="19">
        <f ca="1">SUMIFS(OFFSET('BPC Data'!$F:$F,0,Summary!G$2),'BPC Data'!$E:$E,Summary!$D202,'BPC Data'!$B:$B,Summary!$C202)</f>
        <v>242249</v>
      </c>
      <c r="H202" s="183">
        <f ca="1">SUMIFS(OFFSET('BPC Data'!$F:$F,0,Summary!H$2),'BPC Data'!$E:$E,Summary!$D202,'BPC Data'!$B:$B,Summary!$C202)</f>
        <v>74368</v>
      </c>
      <c r="I202" s="19">
        <f ca="1">SUMIFS(OFFSET('BPC Data'!$F:$F,0,Summary!I$2),'BPC Data'!$E:$E,Summary!$D202,'BPC Data'!$B:$B,Summary!$C202)</f>
        <v>255570</v>
      </c>
      <c r="J202" s="183">
        <f ca="1">SUMIFS(OFFSET('BPC Data'!$F:$F,0,Summary!J$2),'BPC Data'!$E:$E,Summary!$D202,'BPC Data'!$B:$B,Summary!$C202)</f>
        <v>252890</v>
      </c>
      <c r="K202" s="19">
        <f ca="1">SUMIFS(OFFSET('BPC Data'!$F:$F,0,Summary!K$2),'BPC Data'!$E:$E,Summary!$D202,'BPC Data'!$B:$B,Summary!$C202)</f>
        <v>29644</v>
      </c>
      <c r="L202" s="183">
        <f ca="1">SUMIFS(OFFSET('BPC Data'!$F:$F,0,Summary!L$2),'BPC Data'!$E:$E,Summary!$D202,'BPC Data'!$B:$B,Summary!$C202)</f>
        <v>-2192</v>
      </c>
      <c r="M202" s="19">
        <f ca="1">SUMIFS(OFFSET('BPC Data'!$F:$F,0,Summary!M$2),'BPC Data'!$E:$E,Summary!$D202,'BPC Data'!$B:$B,Summary!$C202)</f>
        <v>120680</v>
      </c>
      <c r="N202" s="183">
        <f ca="1">SUMIFS(OFFSET('BPC Data'!$F:$F,0,Summary!N$2),'BPC Data'!$E:$E,Summary!$D202,'BPC Data'!$B:$B,Summary!$C202)</f>
        <v>46512</v>
      </c>
      <c r="O202" s="19">
        <f ca="1">SUMIFS(OFFSET('BPC Data'!$F:$F,0,Summary!O$2),'BPC Data'!$E:$E,Summary!$D202,'BPC Data'!$B:$B,Summary!$C202)</f>
        <v>180359</v>
      </c>
      <c r="P202" s="183">
        <f ca="1">SUMIFS(OFFSET('BPC Data'!$F:$F,0,Summary!P$2),'BPC Data'!$E:$E,Summary!$D202,'BPC Data'!$B:$B,Summary!$C202)</f>
        <v>161407</v>
      </c>
      <c r="Q202" s="19">
        <f ca="1">SUMIFS(OFFSET('BPC Data'!$F:$F,0,Summary!Q$2),'BPC Data'!$E:$E,Summary!$D202,'BPC Data'!$B:$B,Summary!$C202)</f>
        <v>201361</v>
      </c>
      <c r="R202" s="183">
        <f ca="1">SUMIFS(OFFSET('BPC Data'!$F:$F,0,Summary!R$2),'BPC Data'!$E:$E,Summary!$D202,'BPC Data'!$B:$B,Summary!$C202)</f>
        <v>116904</v>
      </c>
      <c r="S202" s="187">
        <f t="shared" ca="1" si="58"/>
        <v>1679752</v>
      </c>
      <c r="T202" s="181"/>
    </row>
    <row r="203" spans="1:20" s="17" customFormat="1" x14ac:dyDescent="0.25">
      <c r="A203" s="17">
        <f t="shared" si="77"/>
        <v>18</v>
      </c>
      <c r="B203"/>
      <c r="C203" t="str">
        <f>$F196</f>
        <v>Harrodsburg Health &amp; Rehabilitation Center</v>
      </c>
      <c r="D203" s="2" t="str">
        <f t="shared" si="62"/>
        <v>T_MGMT_FEE - Tenant Management Fee - Actual</v>
      </c>
      <c r="E203"/>
      <c r="F203" s="24" t="str">
        <f>_xll.EVDES(D203)</f>
        <v>Tenant Management Fee - Actual</v>
      </c>
      <c r="G203" s="19">
        <f ca="1">SUMIFS(OFFSET('BPC Data'!$F:$F,0,Summary!G$2),'BPC Data'!$E:$E,Summary!$D203,'BPC Data'!$B:$B,Summary!$C203)</f>
        <v>39625</v>
      </c>
      <c r="H203" s="183">
        <f ca="1">SUMIFS(OFFSET('BPC Data'!$F:$F,0,Summary!H$2),'BPC Data'!$E:$E,Summary!$D203,'BPC Data'!$B:$B,Summary!$C203)</f>
        <v>34045</v>
      </c>
      <c r="I203" s="19">
        <f ca="1">SUMIFS(OFFSET('BPC Data'!$F:$F,0,Summary!I$2),'BPC Data'!$E:$E,Summary!$D203,'BPC Data'!$B:$B,Summary!$C203)</f>
        <v>41846</v>
      </c>
      <c r="J203" s="183">
        <f ca="1">SUMIFS(OFFSET('BPC Data'!$F:$F,0,Summary!J$2),'BPC Data'!$E:$E,Summary!$D203,'BPC Data'!$B:$B,Summary!$C203)</f>
        <v>44432</v>
      </c>
      <c r="K203" s="19">
        <f ca="1">SUMIFS(OFFSET('BPC Data'!$F:$F,0,Summary!K$2),'BPC Data'!$E:$E,Summary!$D203,'BPC Data'!$B:$B,Summary!$C203)</f>
        <v>27652</v>
      </c>
      <c r="L203" s="183">
        <f ca="1">SUMIFS(OFFSET('BPC Data'!$F:$F,0,Summary!L$2),'BPC Data'!$E:$E,Summary!$D203,'BPC Data'!$B:$B,Summary!$C203)</f>
        <v>21945</v>
      </c>
      <c r="M203" s="19">
        <f ca="1">SUMIFS(OFFSET('BPC Data'!$F:$F,0,Summary!M$2),'BPC Data'!$E:$E,Summary!$D203,'BPC Data'!$B:$B,Summary!$C203)</f>
        <v>32115</v>
      </c>
      <c r="N203" s="183">
        <f ca="1">SUMIFS(OFFSET('BPC Data'!$F:$F,0,Summary!N$2),'BPC Data'!$E:$E,Summary!$D203,'BPC Data'!$B:$B,Summary!$C203)</f>
        <v>27823</v>
      </c>
      <c r="O203" s="19">
        <f ca="1">SUMIFS(OFFSET('BPC Data'!$F:$F,0,Summary!O$2),'BPC Data'!$E:$E,Summary!$D203,'BPC Data'!$B:$B,Summary!$C203)</f>
        <v>33706</v>
      </c>
      <c r="P203" s="183">
        <f ca="1">SUMIFS(OFFSET('BPC Data'!$F:$F,0,Summary!P$2),'BPC Data'!$E:$E,Summary!$D203,'BPC Data'!$B:$B,Summary!$C203)</f>
        <v>34362</v>
      </c>
      <c r="Q203" s="19">
        <f ca="1">SUMIFS(OFFSET('BPC Data'!$F:$F,0,Summary!Q$2),'BPC Data'!$E:$E,Summary!$D203,'BPC Data'!$B:$B,Summary!$C203)</f>
        <v>38375</v>
      </c>
      <c r="R203" s="183">
        <f ca="1">SUMIFS(OFFSET('BPC Data'!$F:$F,0,Summary!R$2),'BPC Data'!$E:$E,Summary!$D203,'BPC Data'!$B:$B,Summary!$C203)</f>
        <v>36781</v>
      </c>
      <c r="S203" s="187">
        <f t="shared" ref="S203:S266" ca="1" si="78">SUM(G203:R203)</f>
        <v>412707</v>
      </c>
      <c r="T203" s="181"/>
    </row>
    <row r="204" spans="1:20" s="17" customFormat="1" x14ac:dyDescent="0.25">
      <c r="A204" s="17">
        <f t="shared" si="77"/>
        <v>18</v>
      </c>
      <c r="B204"/>
      <c r="C204" t="str">
        <f>$F196</f>
        <v>Harrodsburg Health &amp; Rehabilitation Center</v>
      </c>
      <c r="D204" s="1" t="str">
        <f t="shared" si="62"/>
        <v>T_EBITDAR - EBITDAR</v>
      </c>
      <c r="E204"/>
      <c r="F204" s="24" t="str">
        <f>_xll.EVDES(D204)</f>
        <v>EBITDAR</v>
      </c>
      <c r="G204" s="19">
        <f ca="1">SUMIFS(OFFSET('BPC Data'!$F:$F,0,Summary!G$2),'BPC Data'!$E:$E,Summary!$D204,'BPC Data'!$B:$B,Summary!$C204)</f>
        <v>202624</v>
      </c>
      <c r="H204" s="183">
        <f ca="1">SUMIFS(OFFSET('BPC Data'!$F:$F,0,Summary!H$2),'BPC Data'!$E:$E,Summary!$D204,'BPC Data'!$B:$B,Summary!$C204)</f>
        <v>40323</v>
      </c>
      <c r="I204" s="19">
        <f ca="1">SUMIFS(OFFSET('BPC Data'!$F:$F,0,Summary!I$2),'BPC Data'!$E:$E,Summary!$D204,'BPC Data'!$B:$B,Summary!$C204)</f>
        <v>213724</v>
      </c>
      <c r="J204" s="183">
        <f ca="1">SUMIFS(OFFSET('BPC Data'!$F:$F,0,Summary!J$2),'BPC Data'!$E:$E,Summary!$D204,'BPC Data'!$B:$B,Summary!$C204)</f>
        <v>208458</v>
      </c>
      <c r="K204" s="19">
        <f ca="1">SUMIFS(OFFSET('BPC Data'!$F:$F,0,Summary!K$2),'BPC Data'!$E:$E,Summary!$D204,'BPC Data'!$B:$B,Summary!$C204)</f>
        <v>1992</v>
      </c>
      <c r="L204" s="183">
        <f ca="1">SUMIFS(OFFSET('BPC Data'!$F:$F,0,Summary!L$2),'BPC Data'!$E:$E,Summary!$D204,'BPC Data'!$B:$B,Summary!$C204)</f>
        <v>-24137</v>
      </c>
      <c r="M204" s="19">
        <f ca="1">SUMIFS(OFFSET('BPC Data'!$F:$F,0,Summary!M$2),'BPC Data'!$E:$E,Summary!$D204,'BPC Data'!$B:$B,Summary!$C204)</f>
        <v>88565</v>
      </c>
      <c r="N204" s="183">
        <f ca="1">SUMIFS(OFFSET('BPC Data'!$F:$F,0,Summary!N$2),'BPC Data'!$E:$E,Summary!$D204,'BPC Data'!$B:$B,Summary!$C204)</f>
        <v>18689</v>
      </c>
      <c r="O204" s="19">
        <f ca="1">SUMIFS(OFFSET('BPC Data'!$F:$F,0,Summary!O$2),'BPC Data'!$E:$E,Summary!$D204,'BPC Data'!$B:$B,Summary!$C204)</f>
        <v>146653</v>
      </c>
      <c r="P204" s="183">
        <f ca="1">SUMIFS(OFFSET('BPC Data'!$F:$F,0,Summary!P$2),'BPC Data'!$E:$E,Summary!$D204,'BPC Data'!$B:$B,Summary!$C204)</f>
        <v>127045</v>
      </c>
      <c r="Q204" s="19">
        <f ca="1">SUMIFS(OFFSET('BPC Data'!$F:$F,0,Summary!Q$2),'BPC Data'!$E:$E,Summary!$D204,'BPC Data'!$B:$B,Summary!$C204)</f>
        <v>162986</v>
      </c>
      <c r="R204" s="183">
        <f ca="1">SUMIFS(OFFSET('BPC Data'!$F:$F,0,Summary!R$2),'BPC Data'!$E:$E,Summary!$D204,'BPC Data'!$B:$B,Summary!$C204)</f>
        <v>80123</v>
      </c>
      <c r="S204" s="187">
        <f t="shared" ca="1" si="78"/>
        <v>1267045</v>
      </c>
      <c r="T204" s="181"/>
    </row>
    <row r="205" spans="1:20" s="17" customFormat="1" x14ac:dyDescent="0.25">
      <c r="A205" s="17">
        <f t="shared" si="77"/>
        <v>18</v>
      </c>
      <c r="B205"/>
      <c r="C205" t="str">
        <f>$F196</f>
        <v>Harrodsburg Health &amp; Rehabilitation Center</v>
      </c>
      <c r="D205" s="1" t="str">
        <f t="shared" si="62"/>
        <v>T_RENT_EXP - Tenant Rent Expense</v>
      </c>
      <c r="E205"/>
      <c r="F205" s="24" t="str">
        <f>_xll.EVDES(D205)</f>
        <v>Tenant Rent Expense</v>
      </c>
      <c r="G205" s="19">
        <f ca="1">SUMIFS(OFFSET('BPC Data'!$F:$F,0,Summary!G$2),'BPC Data'!$E:$E,Summary!$D205,'BPC Data'!$B:$B,Summary!$C205)</f>
        <v>82292</v>
      </c>
      <c r="H205" s="183">
        <f ca="1">SUMIFS(OFFSET('BPC Data'!$F:$F,0,Summary!H$2),'BPC Data'!$E:$E,Summary!$D205,'BPC Data'!$B:$B,Summary!$C205)</f>
        <v>82292</v>
      </c>
      <c r="I205" s="19">
        <f ca="1">SUMIFS(OFFSET('BPC Data'!$F:$F,0,Summary!I$2),'BPC Data'!$E:$E,Summary!$D205,'BPC Data'!$B:$B,Summary!$C205)</f>
        <v>82292</v>
      </c>
      <c r="J205" s="183">
        <f ca="1">SUMIFS(OFFSET('BPC Data'!$F:$F,0,Summary!J$2),'BPC Data'!$E:$E,Summary!$D205,'BPC Data'!$B:$B,Summary!$C205)</f>
        <v>84350</v>
      </c>
      <c r="K205" s="19">
        <f ca="1">SUMIFS(OFFSET('BPC Data'!$F:$F,0,Summary!K$2),'BPC Data'!$E:$E,Summary!$D205,'BPC Data'!$B:$B,Summary!$C205)</f>
        <v>84350</v>
      </c>
      <c r="L205" s="183">
        <f ca="1">SUMIFS(OFFSET('BPC Data'!$F:$F,0,Summary!L$2),'BPC Data'!$E:$E,Summary!$D205,'BPC Data'!$B:$B,Summary!$C205)</f>
        <v>84350</v>
      </c>
      <c r="M205" s="19">
        <f ca="1">SUMIFS(OFFSET('BPC Data'!$F:$F,0,Summary!M$2),'BPC Data'!$E:$E,Summary!$D205,'BPC Data'!$B:$B,Summary!$C205)</f>
        <v>84350</v>
      </c>
      <c r="N205" s="183">
        <f ca="1">SUMIFS(OFFSET('BPC Data'!$F:$F,0,Summary!N$2),'BPC Data'!$E:$E,Summary!$D205,'BPC Data'!$B:$B,Summary!$C205)</f>
        <v>84350</v>
      </c>
      <c r="O205" s="19">
        <f ca="1">SUMIFS(OFFSET('BPC Data'!$F:$F,0,Summary!O$2),'BPC Data'!$E:$E,Summary!$D205,'BPC Data'!$B:$B,Summary!$C205)</f>
        <v>84350</v>
      </c>
      <c r="P205" s="183">
        <f ca="1">SUMIFS(OFFSET('BPC Data'!$F:$F,0,Summary!P$2),'BPC Data'!$E:$E,Summary!$D205,'BPC Data'!$B:$B,Summary!$C205)</f>
        <v>84350</v>
      </c>
      <c r="Q205" s="19">
        <f ca="1">SUMIFS(OFFSET('BPC Data'!$F:$F,0,Summary!Q$2),'BPC Data'!$E:$E,Summary!$D205,'BPC Data'!$B:$B,Summary!$C205)</f>
        <v>84350</v>
      </c>
      <c r="R205" s="183">
        <f ca="1">SUMIFS(OFFSET('BPC Data'!$F:$F,0,Summary!R$2),'BPC Data'!$E:$E,Summary!$D205,'BPC Data'!$B:$B,Summary!$C205)</f>
        <v>84350</v>
      </c>
      <c r="S205" s="187">
        <f t="shared" ca="1" si="78"/>
        <v>1006026</v>
      </c>
      <c r="T205" s="181"/>
    </row>
    <row r="206" spans="1:20" s="17" customFormat="1" x14ac:dyDescent="0.25">
      <c r="A206" s="17">
        <f t="shared" si="77"/>
        <v>18</v>
      </c>
      <c r="B206"/>
      <c r="C206"/>
      <c r="D206" s="1" t="str">
        <f t="shared" si="62"/>
        <v>x</v>
      </c>
      <c r="E206"/>
      <c r="F206" s="24" t="s">
        <v>0</v>
      </c>
      <c r="G206" s="12">
        <f ca="1">G204/G205</f>
        <v>2.4622563554172947</v>
      </c>
      <c r="H206" s="184">
        <f t="shared" ref="H206:I206" ca="1" si="79">H204/H205</f>
        <v>0.48999902785203908</v>
      </c>
      <c r="I206" s="12">
        <f t="shared" ca="1" si="79"/>
        <v>2.5971418849948962</v>
      </c>
      <c r="J206" s="184">
        <f t="shared" ref="J206:R206" ca="1" si="80">J204/J205</f>
        <v>2.4713455838767042</v>
      </c>
      <c r="K206" s="12">
        <f t="shared" ca="1" si="80"/>
        <v>2.3615886188500298E-2</v>
      </c>
      <c r="L206" s="184">
        <f t="shared" ca="1" si="80"/>
        <v>-0.28615293420272675</v>
      </c>
      <c r="M206" s="12">
        <f t="shared" ca="1" si="80"/>
        <v>1.0499703615886189</v>
      </c>
      <c r="N206" s="184">
        <f t="shared" ca="1" si="80"/>
        <v>0.22156490812092472</v>
      </c>
      <c r="O206" s="12">
        <f t="shared" ca="1" si="80"/>
        <v>1.7386247777119146</v>
      </c>
      <c r="P206" s="184">
        <f t="shared" ca="1" si="80"/>
        <v>1.5061647895672792</v>
      </c>
      <c r="Q206" s="12">
        <f t="shared" ca="1" si="80"/>
        <v>1.9322584469472437</v>
      </c>
      <c r="R206" s="184">
        <f t="shared" ca="1" si="80"/>
        <v>0.94988737403675161</v>
      </c>
      <c r="S206" s="187">
        <f t="shared" ca="1" si="78"/>
        <v>15.156676462099441</v>
      </c>
      <c r="T206" s="181"/>
    </row>
    <row r="207" spans="1:20" s="17" customFormat="1" x14ac:dyDescent="0.25">
      <c r="A207" s="17">
        <f>IF(AND(D207&lt;&gt;"",C207=""),A206+1,A206)</f>
        <v>19</v>
      </c>
      <c r="B207" s="5"/>
      <c r="C207" s="5"/>
      <c r="D207" s="5" t="str">
        <f t="shared" si="62"/>
        <v>x</v>
      </c>
      <c r="E207" s="5"/>
      <c r="F207" s="23" t="str">
        <f>INDEX(PropertyList!$D:$D,MATCH(Summary!$A207,PropertyList!$C:$C,0))</f>
        <v>SHC of Putnam County</v>
      </c>
      <c r="G207" s="11"/>
      <c r="H207" s="182"/>
      <c r="I207" s="11"/>
      <c r="J207" s="182"/>
      <c r="K207" s="11"/>
      <c r="L207" s="182"/>
      <c r="M207" s="11"/>
      <c r="N207" s="182"/>
      <c r="O207" s="11"/>
      <c r="P207" s="182"/>
      <c r="Q207" s="11"/>
      <c r="R207" s="182"/>
      <c r="S207" s="187">
        <f t="shared" si="78"/>
        <v>0</v>
      </c>
      <c r="T207" s="181"/>
    </row>
    <row r="208" spans="1:20" s="17" customFormat="1" x14ac:dyDescent="0.25">
      <c r="A208" s="17">
        <f>IF(AND(F208&lt;&gt;"",D208=""),A207+1,A207)</f>
        <v>19</v>
      </c>
      <c r="C208" t="str">
        <f>$F207</f>
        <v>SHC of Putnam County</v>
      </c>
      <c r="D208" s="3" t="str">
        <f t="shared" si="62"/>
        <v>PAY_PAT_DAYS - Total Payor Patient Days</v>
      </c>
      <c r="F208" s="24" t="str">
        <f>_xll.EVDES(D208)</f>
        <v>Total Payor Patient Days</v>
      </c>
      <c r="G208" s="19">
        <f ca="1">SUMIFS(OFFSET('BPC Data'!$F:$F,0,Summary!G$2),'BPC Data'!$E:$E,Summary!$D208,'BPC Data'!$B:$B,Summary!$C208)</f>
        <v>3696</v>
      </c>
      <c r="H208" s="183">
        <f ca="1">SUMIFS(OFFSET('BPC Data'!$F:$F,0,Summary!H$2),'BPC Data'!$E:$E,Summary!$D208,'BPC Data'!$B:$B,Summary!$C208)</f>
        <v>3799</v>
      </c>
      <c r="I208" s="19">
        <f ca="1">SUMIFS(OFFSET('BPC Data'!$F:$F,0,Summary!I$2),'BPC Data'!$E:$E,Summary!$D208,'BPC Data'!$B:$B,Summary!$C208)</f>
        <v>3539</v>
      </c>
      <c r="J208" s="183">
        <f ca="1">SUMIFS(OFFSET('BPC Data'!$F:$F,0,Summary!J$2),'BPC Data'!$E:$E,Summary!$D208,'BPC Data'!$B:$B,Summary!$C208)</f>
        <v>3443</v>
      </c>
      <c r="K208" s="19">
        <f ca="1">SUMIFS(OFFSET('BPC Data'!$F:$F,0,Summary!K$2),'BPC Data'!$E:$E,Summary!$D208,'BPC Data'!$B:$B,Summary!$C208)</f>
        <v>3622</v>
      </c>
      <c r="L208" s="183">
        <f ca="1">SUMIFS(OFFSET('BPC Data'!$F:$F,0,Summary!L$2),'BPC Data'!$E:$E,Summary!$D208,'BPC Data'!$B:$B,Summary!$C208)</f>
        <v>3476</v>
      </c>
      <c r="M208" s="19">
        <f ca="1">SUMIFS(OFFSET('BPC Data'!$F:$F,0,Summary!M$2),'BPC Data'!$E:$E,Summary!$D208,'BPC Data'!$B:$B,Summary!$C208)</f>
        <v>3733</v>
      </c>
      <c r="N208" s="183">
        <f ca="1">SUMIFS(OFFSET('BPC Data'!$F:$F,0,Summary!N$2),'BPC Data'!$E:$E,Summary!$D208,'BPC Data'!$B:$B,Summary!$C208)</f>
        <v>3498</v>
      </c>
      <c r="O208" s="19">
        <f ca="1">SUMIFS(OFFSET('BPC Data'!$F:$F,0,Summary!O$2),'BPC Data'!$E:$E,Summary!$D208,'BPC Data'!$B:$B,Summary!$C208)</f>
        <v>3767</v>
      </c>
      <c r="P208" s="183">
        <f ca="1">SUMIFS(OFFSET('BPC Data'!$F:$F,0,Summary!P$2),'BPC Data'!$E:$E,Summary!$D208,'BPC Data'!$B:$B,Summary!$C208)</f>
        <v>3551</v>
      </c>
      <c r="Q208" s="19">
        <f ca="1">SUMIFS(OFFSET('BPC Data'!$F:$F,0,Summary!Q$2),'BPC Data'!$E:$E,Summary!$D208,'BPC Data'!$B:$B,Summary!$C208)</f>
        <v>3892</v>
      </c>
      <c r="R208" s="183">
        <f ca="1">SUMIFS(OFFSET('BPC Data'!$F:$F,0,Summary!R$2),'BPC Data'!$E:$E,Summary!$D208,'BPC Data'!$B:$B,Summary!$C208)</f>
        <v>3822</v>
      </c>
      <c r="S208" s="187">
        <f t="shared" ca="1" si="78"/>
        <v>43838</v>
      </c>
      <c r="T208" s="181"/>
    </row>
    <row r="209" spans="1:20" s="17" customFormat="1" x14ac:dyDescent="0.25">
      <c r="A209" s="17">
        <f t="shared" ref="A209:A217" si="81">IF(AND(F209&lt;&gt;"",D209=""),A208+1,A208)</f>
        <v>19</v>
      </c>
      <c r="C209" t="str">
        <f>$F207</f>
        <v>SHC of Putnam County</v>
      </c>
      <c r="D209" s="3" t="str">
        <f t="shared" si="62"/>
        <v>A_BEDS_TOTAL - Total Available Beds</v>
      </c>
      <c r="F209" s="24" t="str">
        <f>_xll.EVDES(D209)</f>
        <v>Total Available Beds</v>
      </c>
      <c r="G209" s="19">
        <f ca="1">SUMIFS(OFFSET('BPC Data'!$F:$F,0,Summary!G$2),'BPC Data'!$E:$E,Summary!$D209,'BPC Data'!$B:$B,Summary!$C209)</f>
        <v>165</v>
      </c>
      <c r="H209" s="183">
        <f ca="1">SUMIFS(OFFSET('BPC Data'!$F:$F,0,Summary!H$2),'BPC Data'!$E:$E,Summary!$D209,'BPC Data'!$B:$B,Summary!$C209)</f>
        <v>165</v>
      </c>
      <c r="I209" s="19">
        <f ca="1">SUMIFS(OFFSET('BPC Data'!$F:$F,0,Summary!I$2),'BPC Data'!$E:$E,Summary!$D209,'BPC Data'!$B:$B,Summary!$C209)</f>
        <v>165</v>
      </c>
      <c r="J209" s="183">
        <f ca="1">SUMIFS(OFFSET('BPC Data'!$F:$F,0,Summary!J$2),'BPC Data'!$E:$E,Summary!$D209,'BPC Data'!$B:$B,Summary!$C209)</f>
        <v>165</v>
      </c>
      <c r="K209" s="19">
        <f ca="1">SUMIFS(OFFSET('BPC Data'!$F:$F,0,Summary!K$2),'BPC Data'!$E:$E,Summary!$D209,'BPC Data'!$B:$B,Summary!$C209)</f>
        <v>165</v>
      </c>
      <c r="L209" s="183">
        <f ca="1">SUMIFS(OFFSET('BPC Data'!$F:$F,0,Summary!L$2),'BPC Data'!$E:$E,Summary!$D209,'BPC Data'!$B:$B,Summary!$C209)</f>
        <v>165</v>
      </c>
      <c r="M209" s="19">
        <f ca="1">SUMIFS(OFFSET('BPC Data'!$F:$F,0,Summary!M$2),'BPC Data'!$E:$E,Summary!$D209,'BPC Data'!$B:$B,Summary!$C209)</f>
        <v>165</v>
      </c>
      <c r="N209" s="183">
        <f ca="1">SUMIFS(OFFSET('BPC Data'!$F:$F,0,Summary!N$2),'BPC Data'!$E:$E,Summary!$D209,'BPC Data'!$B:$B,Summary!$C209)</f>
        <v>165</v>
      </c>
      <c r="O209" s="19">
        <f ca="1">SUMIFS(OFFSET('BPC Data'!$F:$F,0,Summary!O$2),'BPC Data'!$E:$E,Summary!$D209,'BPC Data'!$B:$B,Summary!$C209)</f>
        <v>165</v>
      </c>
      <c r="P209" s="183">
        <f ca="1">SUMIFS(OFFSET('BPC Data'!$F:$F,0,Summary!P$2),'BPC Data'!$E:$E,Summary!$D209,'BPC Data'!$B:$B,Summary!$C209)</f>
        <v>165</v>
      </c>
      <c r="Q209" s="19">
        <f ca="1">SUMIFS(OFFSET('BPC Data'!$F:$F,0,Summary!Q$2),'BPC Data'!$E:$E,Summary!$D209,'BPC Data'!$B:$B,Summary!$C209)</f>
        <v>165</v>
      </c>
      <c r="R209" s="183">
        <f ca="1">SUMIFS(OFFSET('BPC Data'!$F:$F,0,Summary!R$2),'BPC Data'!$E:$E,Summary!$D209,'BPC Data'!$B:$B,Summary!$C209)</f>
        <v>165</v>
      </c>
      <c r="S209" s="187">
        <f ca="1">R209</f>
        <v>165</v>
      </c>
      <c r="T209" s="181"/>
    </row>
    <row r="210" spans="1:20" s="17" customFormat="1" x14ac:dyDescent="0.25">
      <c r="A210" s="17">
        <f t="shared" si="81"/>
        <v>19</v>
      </c>
      <c r="B210"/>
      <c r="C210" t="str">
        <f>$F207</f>
        <v>SHC of Putnam County</v>
      </c>
      <c r="D210" s="3" t="str">
        <f t="shared" si="62"/>
        <v>T_REVENUES - Total Tenant Revenues</v>
      </c>
      <c r="E210"/>
      <c r="F210" s="24" t="str">
        <f>_xll.EVDES(D210)</f>
        <v>Total Tenant Revenues</v>
      </c>
      <c r="G210" s="19">
        <f ca="1">SUMIFS(OFFSET('BPC Data'!$F:$F,0,Summary!G$2),'BPC Data'!$E:$E,Summary!$D210,'BPC Data'!$B:$B,Summary!$C210)</f>
        <v>1153446</v>
      </c>
      <c r="H210" s="183">
        <f ca="1">SUMIFS(OFFSET('BPC Data'!$F:$F,0,Summary!H$2),'BPC Data'!$E:$E,Summary!$D210,'BPC Data'!$B:$B,Summary!$C210)</f>
        <v>1701684</v>
      </c>
      <c r="I210" s="19">
        <f ca="1">SUMIFS(OFFSET('BPC Data'!$F:$F,0,Summary!I$2),'BPC Data'!$E:$E,Summary!$D210,'BPC Data'!$B:$B,Summary!$C210)</f>
        <v>1318558</v>
      </c>
      <c r="J210" s="183">
        <f ca="1">SUMIFS(OFFSET('BPC Data'!$F:$F,0,Summary!J$2),'BPC Data'!$E:$E,Summary!$D210,'BPC Data'!$B:$B,Summary!$C210)</f>
        <v>1774224</v>
      </c>
      <c r="K210" s="19">
        <f ca="1">SUMIFS(OFFSET('BPC Data'!$F:$F,0,Summary!K$2),'BPC Data'!$E:$E,Summary!$D210,'BPC Data'!$B:$B,Summary!$C210)</f>
        <v>1266665</v>
      </c>
      <c r="L210" s="183">
        <f ca="1">SUMIFS(OFFSET('BPC Data'!$F:$F,0,Summary!L$2),'BPC Data'!$E:$E,Summary!$D210,'BPC Data'!$B:$B,Summary!$C210)</f>
        <v>1087859</v>
      </c>
      <c r="M210" s="19">
        <f ca="1">SUMIFS(OFFSET('BPC Data'!$F:$F,0,Summary!M$2),'BPC Data'!$E:$E,Summary!$D210,'BPC Data'!$B:$B,Summary!$C210)</f>
        <v>1209062</v>
      </c>
      <c r="N210" s="183">
        <f ca="1">SUMIFS(OFFSET('BPC Data'!$F:$F,0,Summary!N$2),'BPC Data'!$E:$E,Summary!$D210,'BPC Data'!$B:$B,Summary!$C210)</f>
        <v>1218069</v>
      </c>
      <c r="O210" s="19">
        <f ca="1">SUMIFS(OFFSET('BPC Data'!$F:$F,0,Summary!O$2),'BPC Data'!$E:$E,Summary!$D210,'BPC Data'!$B:$B,Summary!$C210)</f>
        <v>1160725</v>
      </c>
      <c r="P210" s="183">
        <f ca="1">SUMIFS(OFFSET('BPC Data'!$F:$F,0,Summary!P$2),'BPC Data'!$E:$E,Summary!$D210,'BPC Data'!$B:$B,Summary!$C210)</f>
        <v>1088724</v>
      </c>
      <c r="Q210" s="19">
        <f ca="1">SUMIFS(OFFSET('BPC Data'!$F:$F,0,Summary!Q$2),'BPC Data'!$E:$E,Summary!$D210,'BPC Data'!$B:$B,Summary!$C210)</f>
        <v>1167207</v>
      </c>
      <c r="R210" s="183">
        <f ca="1">SUMIFS(OFFSET('BPC Data'!$F:$F,0,Summary!R$2),'BPC Data'!$E:$E,Summary!$D210,'BPC Data'!$B:$B,Summary!$C210)</f>
        <v>1189297</v>
      </c>
      <c r="S210" s="187">
        <f t="shared" ca="1" si="78"/>
        <v>15335520</v>
      </c>
      <c r="T210" s="181"/>
    </row>
    <row r="211" spans="1:20" s="17" customFormat="1" x14ac:dyDescent="0.25">
      <c r="A211" s="17">
        <f t="shared" si="81"/>
        <v>19</v>
      </c>
      <c r="B211"/>
      <c r="C211" t="str">
        <f>$F207</f>
        <v>SHC of Putnam County</v>
      </c>
      <c r="D211" s="3" t="str">
        <f t="shared" si="62"/>
        <v>T_OPEX - Tenant Operating Expenses</v>
      </c>
      <c r="E211"/>
      <c r="F211" s="24" t="str">
        <f>_xll.EVDES(D211)</f>
        <v>Tenant Operating Expenses</v>
      </c>
      <c r="G211" s="19">
        <f ca="1">SUMIFS(OFFSET('BPC Data'!$F:$F,0,Summary!G$2),'BPC Data'!$E:$E,Summary!$D211,'BPC Data'!$B:$B,Summary!$C211)</f>
        <v>931527</v>
      </c>
      <c r="H211" s="183">
        <f ca="1">SUMIFS(OFFSET('BPC Data'!$F:$F,0,Summary!H$2),'BPC Data'!$E:$E,Summary!$D211,'BPC Data'!$B:$B,Summary!$C211)</f>
        <v>1079844</v>
      </c>
      <c r="I211" s="19">
        <f ca="1">SUMIFS(OFFSET('BPC Data'!$F:$F,0,Summary!I$2),'BPC Data'!$E:$E,Summary!$D211,'BPC Data'!$B:$B,Summary!$C211)</f>
        <v>995487</v>
      </c>
      <c r="J211" s="183">
        <f ca="1">SUMIFS(OFFSET('BPC Data'!$F:$F,0,Summary!J$2),'BPC Data'!$E:$E,Summary!$D211,'BPC Data'!$B:$B,Summary!$C211)</f>
        <v>1181672</v>
      </c>
      <c r="K211" s="19">
        <f ca="1">SUMIFS(OFFSET('BPC Data'!$F:$F,0,Summary!K$2),'BPC Data'!$E:$E,Summary!$D211,'BPC Data'!$B:$B,Summary!$C211)</f>
        <v>910742</v>
      </c>
      <c r="L211" s="183">
        <f ca="1">SUMIFS(OFFSET('BPC Data'!$F:$F,0,Summary!L$2),'BPC Data'!$E:$E,Summary!$D211,'BPC Data'!$B:$B,Summary!$C211)</f>
        <v>868755</v>
      </c>
      <c r="M211" s="19">
        <f ca="1">SUMIFS(OFFSET('BPC Data'!$F:$F,0,Summary!M$2),'BPC Data'!$E:$E,Summary!$D211,'BPC Data'!$B:$B,Summary!$C211)</f>
        <v>887929</v>
      </c>
      <c r="N211" s="183">
        <f ca="1">SUMIFS(OFFSET('BPC Data'!$F:$F,0,Summary!N$2),'BPC Data'!$E:$E,Summary!$D211,'BPC Data'!$B:$B,Summary!$C211)</f>
        <v>885806</v>
      </c>
      <c r="O211" s="19">
        <f ca="1">SUMIFS(OFFSET('BPC Data'!$F:$F,0,Summary!O$2),'BPC Data'!$E:$E,Summary!$D211,'BPC Data'!$B:$B,Summary!$C211)</f>
        <v>908466</v>
      </c>
      <c r="P211" s="183">
        <f ca="1">SUMIFS(OFFSET('BPC Data'!$F:$F,0,Summary!P$2),'BPC Data'!$E:$E,Summary!$D211,'BPC Data'!$B:$B,Summary!$C211)</f>
        <v>896403</v>
      </c>
      <c r="Q211" s="19">
        <f ca="1">SUMIFS(OFFSET('BPC Data'!$F:$F,0,Summary!Q$2),'BPC Data'!$E:$E,Summary!$D211,'BPC Data'!$B:$B,Summary!$C211)</f>
        <v>970463</v>
      </c>
      <c r="R211" s="183">
        <f ca="1">SUMIFS(OFFSET('BPC Data'!$F:$F,0,Summary!R$2),'BPC Data'!$E:$E,Summary!$D211,'BPC Data'!$B:$B,Summary!$C211)</f>
        <v>919090</v>
      </c>
      <c r="S211" s="187">
        <f t="shared" ca="1" si="78"/>
        <v>11436184</v>
      </c>
      <c r="T211" s="181"/>
    </row>
    <row r="212" spans="1:20" s="17" customFormat="1" x14ac:dyDescent="0.25">
      <c r="A212" s="17">
        <f t="shared" si="81"/>
        <v>19</v>
      </c>
      <c r="B212"/>
      <c r="C212" t="str">
        <f>$F207</f>
        <v>SHC of Putnam County</v>
      </c>
      <c r="D212" s="3" t="str">
        <f t="shared" si="62"/>
        <v>T_BAD_DEBT - Tenant Bad Debt Expense</v>
      </c>
      <c r="E212"/>
      <c r="F212" s="24" t="str">
        <f>_xll.EVDES(D212)</f>
        <v>Tenant Bad Debt Expense</v>
      </c>
      <c r="G212" s="19">
        <f ca="1">SUMIFS(OFFSET('BPC Data'!$F:$F,0,Summary!G$2),'BPC Data'!$E:$E,Summary!$D212,'BPC Data'!$B:$B,Summary!$C212)</f>
        <v>15090</v>
      </c>
      <c r="H212" s="183">
        <f ca="1">SUMIFS(OFFSET('BPC Data'!$F:$F,0,Summary!H$2),'BPC Data'!$E:$E,Summary!$D212,'BPC Data'!$B:$B,Summary!$C212)</f>
        <v>20242</v>
      </c>
      <c r="I212" s="19">
        <f ca="1">SUMIFS(OFFSET('BPC Data'!$F:$F,0,Summary!I$2),'BPC Data'!$E:$E,Summary!$D212,'BPC Data'!$B:$B,Summary!$C212)</f>
        <v>0</v>
      </c>
      <c r="J212" s="183">
        <f ca="1">SUMIFS(OFFSET('BPC Data'!$F:$F,0,Summary!J$2),'BPC Data'!$E:$E,Summary!$D212,'BPC Data'!$B:$B,Summary!$C212)</f>
        <v>11832</v>
      </c>
      <c r="K212" s="19">
        <f ca="1">SUMIFS(OFFSET('BPC Data'!$F:$F,0,Summary!K$2),'BPC Data'!$E:$E,Summary!$D212,'BPC Data'!$B:$B,Summary!$C212)</f>
        <v>5000</v>
      </c>
      <c r="L212" s="183">
        <f ca="1">SUMIFS(OFFSET('BPC Data'!$F:$F,0,Summary!L$2),'BPC Data'!$E:$E,Summary!$D212,'BPC Data'!$B:$B,Summary!$C212)</f>
        <v>5000</v>
      </c>
      <c r="M212" s="19">
        <f ca="1">SUMIFS(OFFSET('BPC Data'!$F:$F,0,Summary!M$2),'BPC Data'!$E:$E,Summary!$D212,'BPC Data'!$B:$B,Summary!$C212)</f>
        <v>0</v>
      </c>
      <c r="N212" s="183">
        <f ca="1">SUMIFS(OFFSET('BPC Data'!$F:$F,0,Summary!N$2),'BPC Data'!$E:$E,Summary!$D212,'BPC Data'!$B:$B,Summary!$C212)</f>
        <v>0</v>
      </c>
      <c r="O212" s="19">
        <f ca="1">SUMIFS(OFFSET('BPC Data'!$F:$F,0,Summary!O$2),'BPC Data'!$E:$E,Summary!$D212,'BPC Data'!$B:$B,Summary!$C212)</f>
        <v>0</v>
      </c>
      <c r="P212" s="183">
        <f ca="1">SUMIFS(OFFSET('BPC Data'!$F:$F,0,Summary!P$2),'BPC Data'!$E:$E,Summary!$D212,'BPC Data'!$B:$B,Summary!$C212)</f>
        <v>20665</v>
      </c>
      <c r="Q212" s="19">
        <f ca="1">SUMIFS(OFFSET('BPC Data'!$F:$F,0,Summary!Q$2),'BPC Data'!$E:$E,Summary!$D212,'BPC Data'!$B:$B,Summary!$C212)</f>
        <v>32599</v>
      </c>
      <c r="R212" s="183">
        <f ca="1">SUMIFS(OFFSET('BPC Data'!$F:$F,0,Summary!R$2),'BPC Data'!$E:$E,Summary!$D212,'BPC Data'!$B:$B,Summary!$C212)</f>
        <v>24220</v>
      </c>
      <c r="S212" s="187">
        <f t="shared" ca="1" si="78"/>
        <v>134648</v>
      </c>
      <c r="T212" s="181"/>
    </row>
    <row r="213" spans="1:20" s="17" customFormat="1" x14ac:dyDescent="0.25">
      <c r="A213" s="17">
        <f t="shared" si="81"/>
        <v>19</v>
      </c>
      <c r="B213"/>
      <c r="C213" t="str">
        <f>$F207</f>
        <v>SHC of Putnam County</v>
      </c>
      <c r="D213" s="2" t="str">
        <f t="shared" si="62"/>
        <v>T_EBITDARM - EBITDARM</v>
      </c>
      <c r="E213"/>
      <c r="F213" s="24" t="str">
        <f>_xll.EVDES(D213)</f>
        <v>EBITDARM</v>
      </c>
      <c r="G213" s="19">
        <f ca="1">SUMIFS(OFFSET('BPC Data'!$F:$F,0,Summary!G$2),'BPC Data'!$E:$E,Summary!$D213,'BPC Data'!$B:$B,Summary!$C213)</f>
        <v>221919</v>
      </c>
      <c r="H213" s="183">
        <f ca="1">SUMIFS(OFFSET('BPC Data'!$F:$F,0,Summary!H$2),'BPC Data'!$E:$E,Summary!$D213,'BPC Data'!$B:$B,Summary!$C213)</f>
        <v>621840</v>
      </c>
      <c r="I213" s="19">
        <f ca="1">SUMIFS(OFFSET('BPC Data'!$F:$F,0,Summary!I$2),'BPC Data'!$E:$E,Summary!$D213,'BPC Data'!$B:$B,Summary!$C213)</f>
        <v>323071</v>
      </c>
      <c r="J213" s="183">
        <f ca="1">SUMIFS(OFFSET('BPC Data'!$F:$F,0,Summary!J$2),'BPC Data'!$E:$E,Summary!$D213,'BPC Data'!$B:$B,Summary!$C213)</f>
        <v>592552</v>
      </c>
      <c r="K213" s="19">
        <f ca="1">SUMIFS(OFFSET('BPC Data'!$F:$F,0,Summary!K$2),'BPC Data'!$E:$E,Summary!$D213,'BPC Data'!$B:$B,Summary!$C213)</f>
        <v>355923</v>
      </c>
      <c r="L213" s="183">
        <f ca="1">SUMIFS(OFFSET('BPC Data'!$F:$F,0,Summary!L$2),'BPC Data'!$E:$E,Summary!$D213,'BPC Data'!$B:$B,Summary!$C213)</f>
        <v>219104</v>
      </c>
      <c r="M213" s="19">
        <f ca="1">SUMIFS(OFFSET('BPC Data'!$F:$F,0,Summary!M$2),'BPC Data'!$E:$E,Summary!$D213,'BPC Data'!$B:$B,Summary!$C213)</f>
        <v>321133</v>
      </c>
      <c r="N213" s="183">
        <f ca="1">SUMIFS(OFFSET('BPC Data'!$F:$F,0,Summary!N$2),'BPC Data'!$E:$E,Summary!$D213,'BPC Data'!$B:$B,Summary!$C213)</f>
        <v>332263</v>
      </c>
      <c r="O213" s="19">
        <f ca="1">SUMIFS(OFFSET('BPC Data'!$F:$F,0,Summary!O$2),'BPC Data'!$E:$E,Summary!$D213,'BPC Data'!$B:$B,Summary!$C213)</f>
        <v>252259</v>
      </c>
      <c r="P213" s="183">
        <f ca="1">SUMIFS(OFFSET('BPC Data'!$F:$F,0,Summary!P$2),'BPC Data'!$E:$E,Summary!$D213,'BPC Data'!$B:$B,Summary!$C213)</f>
        <v>192321</v>
      </c>
      <c r="Q213" s="19">
        <f ca="1">SUMIFS(OFFSET('BPC Data'!$F:$F,0,Summary!Q$2),'BPC Data'!$E:$E,Summary!$D213,'BPC Data'!$B:$B,Summary!$C213)</f>
        <v>196744</v>
      </c>
      <c r="R213" s="183">
        <f ca="1">SUMIFS(OFFSET('BPC Data'!$F:$F,0,Summary!R$2),'BPC Data'!$E:$E,Summary!$D213,'BPC Data'!$B:$B,Summary!$C213)</f>
        <v>270207</v>
      </c>
      <c r="S213" s="187">
        <f t="shared" ca="1" si="78"/>
        <v>3899336</v>
      </c>
      <c r="T213" s="181"/>
    </row>
    <row r="214" spans="1:20" s="17" customFormat="1" x14ac:dyDescent="0.25">
      <c r="A214" s="17">
        <f t="shared" si="81"/>
        <v>19</v>
      </c>
      <c r="B214"/>
      <c r="C214" t="str">
        <f>$F207</f>
        <v>SHC of Putnam County</v>
      </c>
      <c r="D214" s="2" t="str">
        <f t="shared" ref="D214:D277" si="82">$D203</f>
        <v>T_MGMT_FEE - Tenant Management Fee - Actual</v>
      </c>
      <c r="E214"/>
      <c r="F214" s="24" t="str">
        <f>_xll.EVDES(D214)</f>
        <v>Tenant Management Fee - Actual</v>
      </c>
      <c r="G214" s="19">
        <f ca="1">SUMIFS(OFFSET('BPC Data'!$F:$F,0,Summary!G$2),'BPC Data'!$E:$E,Summary!$D214,'BPC Data'!$B:$B,Summary!$C214)</f>
        <v>58161</v>
      </c>
      <c r="H214" s="183">
        <f ca="1">SUMIFS(OFFSET('BPC Data'!$F:$F,0,Summary!H$2),'BPC Data'!$E:$E,Summary!$D214,'BPC Data'!$B:$B,Summary!$C214)</f>
        <v>85935</v>
      </c>
      <c r="I214" s="19">
        <f ca="1">SUMIFS(OFFSET('BPC Data'!$F:$F,0,Summary!I$2),'BPC Data'!$E:$E,Summary!$D214,'BPC Data'!$B:$B,Summary!$C214)</f>
        <v>66587</v>
      </c>
      <c r="J214" s="183">
        <f ca="1">SUMIFS(OFFSET('BPC Data'!$F:$F,0,Summary!J$2),'BPC Data'!$E:$E,Summary!$D214,'BPC Data'!$B:$B,Summary!$C214)</f>
        <v>92793</v>
      </c>
      <c r="K214" s="19">
        <f ca="1">SUMIFS(OFFSET('BPC Data'!$F:$F,0,Summary!K$2),'BPC Data'!$E:$E,Summary!$D214,'BPC Data'!$B:$B,Summary!$C214)</f>
        <v>63967</v>
      </c>
      <c r="L214" s="183">
        <f ca="1">SUMIFS(OFFSET('BPC Data'!$F:$F,0,Summary!L$2),'BPC Data'!$E:$E,Summary!$D214,'BPC Data'!$B:$B,Summary!$C214)</f>
        <v>54937</v>
      </c>
      <c r="M214" s="19">
        <f ca="1">SUMIFS(OFFSET('BPC Data'!$F:$F,0,Summary!M$2),'BPC Data'!$E:$E,Summary!$D214,'BPC Data'!$B:$B,Summary!$C214)</f>
        <v>61058</v>
      </c>
      <c r="N214" s="183">
        <f ca="1">SUMIFS(OFFSET('BPC Data'!$F:$F,0,Summary!N$2),'BPC Data'!$E:$E,Summary!$D214,'BPC Data'!$B:$B,Summary!$C214)</f>
        <v>61513</v>
      </c>
      <c r="O214" s="19">
        <f ca="1">SUMIFS(OFFSET('BPC Data'!$F:$F,0,Summary!O$2),'BPC Data'!$E:$E,Summary!$D214,'BPC Data'!$B:$B,Summary!$C214)</f>
        <v>58617</v>
      </c>
      <c r="P214" s="183">
        <f ca="1">SUMIFS(OFFSET('BPC Data'!$F:$F,0,Summary!P$2),'BPC Data'!$E:$E,Summary!$D214,'BPC Data'!$B:$B,Summary!$C214)</f>
        <v>54980</v>
      </c>
      <c r="Q214" s="19">
        <f ca="1">SUMIFS(OFFSET('BPC Data'!$F:$F,0,Summary!Q$2),'BPC Data'!$E:$E,Summary!$D214,'BPC Data'!$B:$B,Summary!$C214)</f>
        <v>58944</v>
      </c>
      <c r="R214" s="183">
        <f ca="1">SUMIFS(OFFSET('BPC Data'!$F:$F,0,Summary!R$2),'BPC Data'!$E:$E,Summary!$D214,'BPC Data'!$B:$B,Summary!$C214)</f>
        <v>60060</v>
      </c>
      <c r="S214" s="187">
        <f t="shared" ca="1" si="78"/>
        <v>777552</v>
      </c>
      <c r="T214" s="181"/>
    </row>
    <row r="215" spans="1:20" s="17" customFormat="1" x14ac:dyDescent="0.25">
      <c r="A215" s="17">
        <f t="shared" si="81"/>
        <v>19</v>
      </c>
      <c r="B215"/>
      <c r="C215" t="str">
        <f>$F207</f>
        <v>SHC of Putnam County</v>
      </c>
      <c r="D215" s="1" t="str">
        <f t="shared" si="82"/>
        <v>T_EBITDAR - EBITDAR</v>
      </c>
      <c r="E215"/>
      <c r="F215" s="24" t="str">
        <f>_xll.EVDES(D215)</f>
        <v>EBITDAR</v>
      </c>
      <c r="G215" s="19">
        <f ca="1">SUMIFS(OFFSET('BPC Data'!$F:$F,0,Summary!G$2),'BPC Data'!$E:$E,Summary!$D215,'BPC Data'!$B:$B,Summary!$C215)</f>
        <v>163758</v>
      </c>
      <c r="H215" s="183">
        <f ca="1">SUMIFS(OFFSET('BPC Data'!$F:$F,0,Summary!H$2),'BPC Data'!$E:$E,Summary!$D215,'BPC Data'!$B:$B,Summary!$C215)</f>
        <v>535905</v>
      </c>
      <c r="I215" s="19">
        <f ca="1">SUMIFS(OFFSET('BPC Data'!$F:$F,0,Summary!I$2),'BPC Data'!$E:$E,Summary!$D215,'BPC Data'!$B:$B,Summary!$C215)</f>
        <v>256484</v>
      </c>
      <c r="J215" s="183">
        <f ca="1">SUMIFS(OFFSET('BPC Data'!$F:$F,0,Summary!J$2),'BPC Data'!$E:$E,Summary!$D215,'BPC Data'!$B:$B,Summary!$C215)</f>
        <v>499759</v>
      </c>
      <c r="K215" s="19">
        <f ca="1">SUMIFS(OFFSET('BPC Data'!$F:$F,0,Summary!K$2),'BPC Data'!$E:$E,Summary!$D215,'BPC Data'!$B:$B,Summary!$C215)</f>
        <v>291956</v>
      </c>
      <c r="L215" s="183">
        <f ca="1">SUMIFS(OFFSET('BPC Data'!$F:$F,0,Summary!L$2),'BPC Data'!$E:$E,Summary!$D215,'BPC Data'!$B:$B,Summary!$C215)</f>
        <v>164167</v>
      </c>
      <c r="M215" s="19">
        <f ca="1">SUMIFS(OFFSET('BPC Data'!$F:$F,0,Summary!M$2),'BPC Data'!$E:$E,Summary!$D215,'BPC Data'!$B:$B,Summary!$C215)</f>
        <v>260075</v>
      </c>
      <c r="N215" s="183">
        <f ca="1">SUMIFS(OFFSET('BPC Data'!$F:$F,0,Summary!N$2),'BPC Data'!$E:$E,Summary!$D215,'BPC Data'!$B:$B,Summary!$C215)</f>
        <v>270750</v>
      </c>
      <c r="O215" s="19">
        <f ca="1">SUMIFS(OFFSET('BPC Data'!$F:$F,0,Summary!O$2),'BPC Data'!$E:$E,Summary!$D215,'BPC Data'!$B:$B,Summary!$C215)</f>
        <v>193642</v>
      </c>
      <c r="P215" s="183">
        <f ca="1">SUMIFS(OFFSET('BPC Data'!$F:$F,0,Summary!P$2),'BPC Data'!$E:$E,Summary!$D215,'BPC Data'!$B:$B,Summary!$C215)</f>
        <v>137341</v>
      </c>
      <c r="Q215" s="19">
        <f ca="1">SUMIFS(OFFSET('BPC Data'!$F:$F,0,Summary!Q$2),'BPC Data'!$E:$E,Summary!$D215,'BPC Data'!$B:$B,Summary!$C215)</f>
        <v>137800</v>
      </c>
      <c r="R215" s="183">
        <f ca="1">SUMIFS(OFFSET('BPC Data'!$F:$F,0,Summary!R$2),'BPC Data'!$E:$E,Summary!$D215,'BPC Data'!$B:$B,Summary!$C215)</f>
        <v>210147</v>
      </c>
      <c r="S215" s="187">
        <f t="shared" ca="1" si="78"/>
        <v>3121784</v>
      </c>
      <c r="T215" s="181"/>
    </row>
    <row r="216" spans="1:20" s="17" customFormat="1" x14ac:dyDescent="0.25">
      <c r="A216" s="17">
        <f t="shared" si="81"/>
        <v>19</v>
      </c>
      <c r="B216"/>
      <c r="C216" t="str">
        <f>$F207</f>
        <v>SHC of Putnam County</v>
      </c>
      <c r="D216" s="1" t="str">
        <f t="shared" si="82"/>
        <v>T_RENT_EXP - Tenant Rent Expense</v>
      </c>
      <c r="E216"/>
      <c r="F216" s="24" t="str">
        <f>_xll.EVDES(D216)</f>
        <v>Tenant Rent Expense</v>
      </c>
      <c r="G216" s="19">
        <f ca="1">SUMIFS(OFFSET('BPC Data'!$F:$F,0,Summary!G$2),'BPC Data'!$E:$E,Summary!$D216,'BPC Data'!$B:$B,Summary!$C216)</f>
        <v>317549</v>
      </c>
      <c r="H216" s="183">
        <f ca="1">SUMIFS(OFFSET('BPC Data'!$F:$F,0,Summary!H$2),'BPC Data'!$E:$E,Summary!$D216,'BPC Data'!$B:$B,Summary!$C216)</f>
        <v>317549</v>
      </c>
      <c r="I216" s="19">
        <f ca="1">SUMIFS(OFFSET('BPC Data'!$F:$F,0,Summary!I$2),'BPC Data'!$E:$E,Summary!$D216,'BPC Data'!$B:$B,Summary!$C216)</f>
        <v>317549</v>
      </c>
      <c r="J216" s="183">
        <f ca="1">SUMIFS(OFFSET('BPC Data'!$F:$F,0,Summary!J$2),'BPC Data'!$E:$E,Summary!$D216,'BPC Data'!$B:$B,Summary!$C216)</f>
        <v>325487</v>
      </c>
      <c r="K216" s="19">
        <f ca="1">SUMIFS(OFFSET('BPC Data'!$F:$F,0,Summary!K$2),'BPC Data'!$E:$E,Summary!$D216,'BPC Data'!$B:$B,Summary!$C216)</f>
        <v>325487</v>
      </c>
      <c r="L216" s="183">
        <f ca="1">SUMIFS(OFFSET('BPC Data'!$F:$F,0,Summary!L$2),'BPC Data'!$E:$E,Summary!$D216,'BPC Data'!$B:$B,Summary!$C216)</f>
        <v>325487</v>
      </c>
      <c r="M216" s="19">
        <f ca="1">SUMIFS(OFFSET('BPC Data'!$F:$F,0,Summary!M$2),'BPC Data'!$E:$E,Summary!$D216,'BPC Data'!$B:$B,Summary!$C216)</f>
        <v>325487</v>
      </c>
      <c r="N216" s="183">
        <f ca="1">SUMIFS(OFFSET('BPC Data'!$F:$F,0,Summary!N$2),'BPC Data'!$E:$E,Summary!$D216,'BPC Data'!$B:$B,Summary!$C216)</f>
        <v>325487</v>
      </c>
      <c r="O216" s="19">
        <f ca="1">SUMIFS(OFFSET('BPC Data'!$F:$F,0,Summary!O$2),'BPC Data'!$E:$E,Summary!$D216,'BPC Data'!$B:$B,Summary!$C216)</f>
        <v>325487</v>
      </c>
      <c r="P216" s="183">
        <f ca="1">SUMIFS(OFFSET('BPC Data'!$F:$F,0,Summary!P$2),'BPC Data'!$E:$E,Summary!$D216,'BPC Data'!$B:$B,Summary!$C216)</f>
        <v>325487</v>
      </c>
      <c r="Q216" s="19">
        <f ca="1">SUMIFS(OFFSET('BPC Data'!$F:$F,0,Summary!Q$2),'BPC Data'!$E:$E,Summary!$D216,'BPC Data'!$B:$B,Summary!$C216)</f>
        <v>325487</v>
      </c>
      <c r="R216" s="183">
        <f ca="1">SUMIFS(OFFSET('BPC Data'!$F:$F,0,Summary!R$2),'BPC Data'!$E:$E,Summary!$D216,'BPC Data'!$B:$B,Summary!$C216)</f>
        <v>325487</v>
      </c>
      <c r="S216" s="187">
        <f t="shared" ca="1" si="78"/>
        <v>3882030</v>
      </c>
      <c r="T216" s="181"/>
    </row>
    <row r="217" spans="1:20" s="17" customFormat="1" x14ac:dyDescent="0.25">
      <c r="A217" s="17">
        <f t="shared" si="81"/>
        <v>19</v>
      </c>
      <c r="B217"/>
      <c r="C217"/>
      <c r="D217" s="1" t="str">
        <f t="shared" si="82"/>
        <v>x</v>
      </c>
      <c r="E217"/>
      <c r="F217" s="24" t="s">
        <v>0</v>
      </c>
      <c r="G217" s="12">
        <f ca="1">G215/G216</f>
        <v>0.51569364098139181</v>
      </c>
      <c r="H217" s="184">
        <f t="shared" ref="H217:I217" ca="1" si="83">H215/H216</f>
        <v>1.6876293107520415</v>
      </c>
      <c r="I217" s="12">
        <f t="shared" ca="1" si="83"/>
        <v>0.80769896929292806</v>
      </c>
      <c r="J217" s="184">
        <f t="shared" ref="J217:R217" ca="1" si="84">J215/J216</f>
        <v>1.5354192333334358</v>
      </c>
      <c r="K217" s="12">
        <f t="shared" ca="1" si="84"/>
        <v>0.89698206072746378</v>
      </c>
      <c r="L217" s="184">
        <f t="shared" ca="1" si="84"/>
        <v>0.50437344655854155</v>
      </c>
      <c r="M217" s="12">
        <f t="shared" ca="1" si="84"/>
        <v>0.79903344834048673</v>
      </c>
      <c r="N217" s="184">
        <f t="shared" ca="1" si="84"/>
        <v>0.83183045713039228</v>
      </c>
      <c r="O217" s="12">
        <f t="shared" ca="1" si="84"/>
        <v>0.59493005865057591</v>
      </c>
      <c r="P217" s="184">
        <f t="shared" ca="1" si="84"/>
        <v>0.42195540835732304</v>
      </c>
      <c r="Q217" s="12">
        <f t="shared" ca="1" si="84"/>
        <v>0.42336560292730585</v>
      </c>
      <c r="R217" s="184">
        <f t="shared" ca="1" si="84"/>
        <v>0.64563868910279054</v>
      </c>
      <c r="S217" s="187">
        <f t="shared" ca="1" si="78"/>
        <v>9.6645503261546768</v>
      </c>
      <c r="T217" s="181"/>
    </row>
    <row r="218" spans="1:20" s="17" customFormat="1" x14ac:dyDescent="0.25">
      <c r="A218" s="17">
        <f>IF(AND(D218&lt;&gt;"",C218=""),A217+1,A217)</f>
        <v>20</v>
      </c>
      <c r="B218" s="5"/>
      <c r="C218" s="5"/>
      <c r="D218" s="5" t="str">
        <f t="shared" si="82"/>
        <v>x</v>
      </c>
      <c r="E218" s="5"/>
      <c r="F218" s="23" t="str">
        <f>INDEX(PropertyList!$D:$D,MATCH(Summary!$A218,PropertyList!$C:$C,0))</f>
        <v>SHC of Fayette County</v>
      </c>
      <c r="G218" s="11"/>
      <c r="H218" s="182"/>
      <c r="I218" s="11"/>
      <c r="J218" s="182"/>
      <c r="K218" s="11"/>
      <c r="L218" s="182"/>
      <c r="M218" s="11"/>
      <c r="N218" s="182"/>
      <c r="O218" s="11"/>
      <c r="P218" s="182"/>
      <c r="Q218" s="11"/>
      <c r="R218" s="182"/>
      <c r="S218" s="187">
        <f t="shared" si="78"/>
        <v>0</v>
      </c>
      <c r="T218" s="181"/>
    </row>
    <row r="219" spans="1:20" s="17" customFormat="1" x14ac:dyDescent="0.25">
      <c r="A219" s="17">
        <f>IF(AND(F219&lt;&gt;"",D219=""),A218+1,A218)</f>
        <v>20</v>
      </c>
      <c r="C219" t="str">
        <f>$F218</f>
        <v>SHC of Fayette County</v>
      </c>
      <c r="D219" s="3" t="str">
        <f t="shared" si="82"/>
        <v>PAY_PAT_DAYS - Total Payor Patient Days</v>
      </c>
      <c r="F219" s="24" t="str">
        <f>_xll.EVDES(D219)</f>
        <v>Total Payor Patient Days</v>
      </c>
      <c r="G219" s="19">
        <f ca="1">SUMIFS(OFFSET('BPC Data'!$F:$F,0,Summary!G$2),'BPC Data'!$E:$E,Summary!$D219,'BPC Data'!$B:$B,Summary!$C219)</f>
        <v>1627</v>
      </c>
      <c r="H219" s="183">
        <f ca="1">SUMIFS(OFFSET('BPC Data'!$F:$F,0,Summary!H$2),'BPC Data'!$E:$E,Summary!$D219,'BPC Data'!$B:$B,Summary!$C219)</f>
        <v>1659</v>
      </c>
      <c r="I219" s="19">
        <f ca="1">SUMIFS(OFFSET('BPC Data'!$F:$F,0,Summary!I$2),'BPC Data'!$E:$E,Summary!$D219,'BPC Data'!$B:$B,Summary!$C219)</f>
        <v>1395</v>
      </c>
      <c r="J219" s="183">
        <f ca="1">SUMIFS(OFFSET('BPC Data'!$F:$F,0,Summary!J$2),'BPC Data'!$E:$E,Summary!$D219,'BPC Data'!$B:$B,Summary!$C219)</f>
        <v>1343</v>
      </c>
      <c r="K219" s="19">
        <f ca="1">SUMIFS(OFFSET('BPC Data'!$F:$F,0,Summary!K$2),'BPC Data'!$E:$E,Summary!$D219,'BPC Data'!$B:$B,Summary!$C219)</f>
        <v>1534</v>
      </c>
      <c r="L219" s="183">
        <f ca="1">SUMIFS(OFFSET('BPC Data'!$F:$F,0,Summary!L$2),'BPC Data'!$E:$E,Summary!$D219,'BPC Data'!$B:$B,Summary!$C219)</f>
        <v>1424</v>
      </c>
      <c r="M219" s="19">
        <f ca="1">SUMIFS(OFFSET('BPC Data'!$F:$F,0,Summary!M$2),'BPC Data'!$E:$E,Summary!$D219,'BPC Data'!$B:$B,Summary!$C219)</f>
        <v>1635</v>
      </c>
      <c r="N219" s="183">
        <f ca="1">SUMIFS(OFFSET('BPC Data'!$F:$F,0,Summary!N$2),'BPC Data'!$E:$E,Summary!$D219,'BPC Data'!$B:$B,Summary!$C219)</f>
        <v>1547</v>
      </c>
      <c r="O219" s="19">
        <f ca="1">SUMIFS(OFFSET('BPC Data'!$F:$F,0,Summary!O$2),'BPC Data'!$E:$E,Summary!$D219,'BPC Data'!$B:$B,Summary!$C219)</f>
        <v>1637</v>
      </c>
      <c r="P219" s="183">
        <f ca="1">SUMIFS(OFFSET('BPC Data'!$F:$F,0,Summary!P$2),'BPC Data'!$E:$E,Summary!$D219,'BPC Data'!$B:$B,Summary!$C219)</f>
        <v>1649</v>
      </c>
      <c r="Q219" s="19">
        <f ca="1">SUMIFS(OFFSET('BPC Data'!$F:$F,0,Summary!Q$2),'BPC Data'!$E:$E,Summary!$D219,'BPC Data'!$B:$B,Summary!$C219)</f>
        <v>1604</v>
      </c>
      <c r="R219" s="183">
        <f ca="1">SUMIFS(OFFSET('BPC Data'!$F:$F,0,Summary!R$2),'BPC Data'!$E:$E,Summary!$D219,'BPC Data'!$B:$B,Summary!$C219)</f>
        <v>1561</v>
      </c>
      <c r="S219" s="187">
        <f t="shared" ca="1" si="78"/>
        <v>18615</v>
      </c>
      <c r="T219" s="181"/>
    </row>
    <row r="220" spans="1:20" s="17" customFormat="1" x14ac:dyDescent="0.25">
      <c r="A220" s="17">
        <f t="shared" ref="A220:A228" si="85">IF(AND(F220&lt;&gt;"",D220=""),A219+1,A219)</f>
        <v>20</v>
      </c>
      <c r="C220" t="str">
        <f>$F218</f>
        <v>SHC of Fayette County</v>
      </c>
      <c r="D220" s="3" t="str">
        <f t="shared" si="82"/>
        <v>A_BEDS_TOTAL - Total Available Beds</v>
      </c>
      <c r="F220" s="24" t="str">
        <f>_xll.EVDES(D220)</f>
        <v>Total Available Beds</v>
      </c>
      <c r="G220" s="19">
        <f ca="1">SUMIFS(OFFSET('BPC Data'!$F:$F,0,Summary!G$2),'BPC Data'!$E:$E,Summary!$D220,'BPC Data'!$B:$B,Summary!$C220)</f>
        <v>95</v>
      </c>
      <c r="H220" s="183">
        <f ca="1">SUMIFS(OFFSET('BPC Data'!$F:$F,0,Summary!H$2),'BPC Data'!$E:$E,Summary!$D220,'BPC Data'!$B:$B,Summary!$C220)</f>
        <v>95</v>
      </c>
      <c r="I220" s="19">
        <f ca="1">SUMIFS(OFFSET('BPC Data'!$F:$F,0,Summary!I$2),'BPC Data'!$E:$E,Summary!$D220,'BPC Data'!$B:$B,Summary!$C220)</f>
        <v>95</v>
      </c>
      <c r="J220" s="183">
        <f ca="1">SUMIFS(OFFSET('BPC Data'!$F:$F,0,Summary!J$2),'BPC Data'!$E:$E,Summary!$D220,'BPC Data'!$B:$B,Summary!$C220)</f>
        <v>95</v>
      </c>
      <c r="K220" s="19">
        <f ca="1">SUMIFS(OFFSET('BPC Data'!$F:$F,0,Summary!K$2),'BPC Data'!$E:$E,Summary!$D220,'BPC Data'!$B:$B,Summary!$C220)</f>
        <v>95</v>
      </c>
      <c r="L220" s="183">
        <f ca="1">SUMIFS(OFFSET('BPC Data'!$F:$F,0,Summary!L$2),'BPC Data'!$E:$E,Summary!$D220,'BPC Data'!$B:$B,Summary!$C220)</f>
        <v>95</v>
      </c>
      <c r="M220" s="19">
        <f ca="1">SUMIFS(OFFSET('BPC Data'!$F:$F,0,Summary!M$2),'BPC Data'!$E:$E,Summary!$D220,'BPC Data'!$B:$B,Summary!$C220)</f>
        <v>95</v>
      </c>
      <c r="N220" s="183">
        <f ca="1">SUMIFS(OFFSET('BPC Data'!$F:$F,0,Summary!N$2),'BPC Data'!$E:$E,Summary!$D220,'BPC Data'!$B:$B,Summary!$C220)</f>
        <v>95</v>
      </c>
      <c r="O220" s="19">
        <f ca="1">SUMIFS(OFFSET('BPC Data'!$F:$F,0,Summary!O$2),'BPC Data'!$E:$E,Summary!$D220,'BPC Data'!$B:$B,Summary!$C220)</f>
        <v>95</v>
      </c>
      <c r="P220" s="183">
        <f ca="1">SUMIFS(OFFSET('BPC Data'!$F:$F,0,Summary!P$2),'BPC Data'!$E:$E,Summary!$D220,'BPC Data'!$B:$B,Summary!$C220)</f>
        <v>95</v>
      </c>
      <c r="Q220" s="19">
        <f ca="1">SUMIFS(OFFSET('BPC Data'!$F:$F,0,Summary!Q$2),'BPC Data'!$E:$E,Summary!$D220,'BPC Data'!$B:$B,Summary!$C220)</f>
        <v>95</v>
      </c>
      <c r="R220" s="183">
        <f ca="1">SUMIFS(OFFSET('BPC Data'!$F:$F,0,Summary!R$2),'BPC Data'!$E:$E,Summary!$D220,'BPC Data'!$B:$B,Summary!$C220)</f>
        <v>95</v>
      </c>
      <c r="S220" s="187">
        <f ca="1">R220</f>
        <v>95</v>
      </c>
      <c r="T220" s="181"/>
    </row>
    <row r="221" spans="1:20" s="17" customFormat="1" x14ac:dyDescent="0.25">
      <c r="A221" s="17">
        <f t="shared" si="85"/>
        <v>20</v>
      </c>
      <c r="B221"/>
      <c r="C221" t="str">
        <f>$F218</f>
        <v>SHC of Fayette County</v>
      </c>
      <c r="D221" s="3" t="str">
        <f t="shared" si="82"/>
        <v>T_REVENUES - Total Tenant Revenues</v>
      </c>
      <c r="E221"/>
      <c r="F221" s="24" t="str">
        <f>_xll.EVDES(D221)</f>
        <v>Total Tenant Revenues</v>
      </c>
      <c r="G221" s="19">
        <f ca="1">SUMIFS(OFFSET('BPC Data'!$F:$F,0,Summary!G$2),'BPC Data'!$E:$E,Summary!$D221,'BPC Data'!$B:$B,Summary!$C221)</f>
        <v>454236</v>
      </c>
      <c r="H221" s="183">
        <f ca="1">SUMIFS(OFFSET('BPC Data'!$F:$F,0,Summary!H$2),'BPC Data'!$E:$E,Summary!$D221,'BPC Data'!$B:$B,Summary!$C221)</f>
        <v>614164</v>
      </c>
      <c r="I221" s="19">
        <f ca="1">SUMIFS(OFFSET('BPC Data'!$F:$F,0,Summary!I$2),'BPC Data'!$E:$E,Summary!$D221,'BPC Data'!$B:$B,Summary!$C221)</f>
        <v>489001</v>
      </c>
      <c r="J221" s="183">
        <f ca="1">SUMIFS(OFFSET('BPC Data'!$F:$F,0,Summary!J$2),'BPC Data'!$E:$E,Summary!$D221,'BPC Data'!$B:$B,Summary!$C221)</f>
        <v>333117</v>
      </c>
      <c r="K221" s="19">
        <f ca="1">SUMIFS(OFFSET('BPC Data'!$F:$F,0,Summary!K$2),'BPC Data'!$E:$E,Summary!$D221,'BPC Data'!$B:$B,Summary!$C221)</f>
        <v>425688</v>
      </c>
      <c r="L221" s="183">
        <f ca="1">SUMIFS(OFFSET('BPC Data'!$F:$F,0,Summary!L$2),'BPC Data'!$E:$E,Summary!$D221,'BPC Data'!$B:$B,Summary!$C221)</f>
        <v>369928</v>
      </c>
      <c r="M221" s="19">
        <f ca="1">SUMIFS(OFFSET('BPC Data'!$F:$F,0,Summary!M$2),'BPC Data'!$E:$E,Summary!$D221,'BPC Data'!$B:$B,Summary!$C221)</f>
        <v>335134</v>
      </c>
      <c r="N221" s="183">
        <f ca="1">SUMIFS(OFFSET('BPC Data'!$F:$F,0,Summary!N$2),'BPC Data'!$E:$E,Summary!$D221,'BPC Data'!$B:$B,Summary!$C221)</f>
        <v>376528</v>
      </c>
      <c r="O221" s="19">
        <f ca="1">SUMIFS(OFFSET('BPC Data'!$F:$F,0,Summary!O$2),'BPC Data'!$E:$E,Summary!$D221,'BPC Data'!$B:$B,Summary!$C221)</f>
        <v>371466</v>
      </c>
      <c r="P221" s="183">
        <f ca="1">SUMIFS(OFFSET('BPC Data'!$F:$F,0,Summary!P$2),'BPC Data'!$E:$E,Summary!$D221,'BPC Data'!$B:$B,Summary!$C221)</f>
        <v>343743</v>
      </c>
      <c r="Q221" s="19">
        <f ca="1">SUMIFS(OFFSET('BPC Data'!$F:$F,0,Summary!Q$2),'BPC Data'!$E:$E,Summary!$D221,'BPC Data'!$B:$B,Summary!$C221)</f>
        <v>410742</v>
      </c>
      <c r="R221" s="183">
        <f ca="1">SUMIFS(OFFSET('BPC Data'!$F:$F,0,Summary!R$2),'BPC Data'!$E:$E,Summary!$D221,'BPC Data'!$B:$B,Summary!$C221)</f>
        <v>394800</v>
      </c>
      <c r="S221" s="187">
        <f t="shared" ca="1" si="78"/>
        <v>4918547</v>
      </c>
      <c r="T221" s="181"/>
    </row>
    <row r="222" spans="1:20" s="17" customFormat="1" x14ac:dyDescent="0.25">
      <c r="A222" s="17">
        <f t="shared" si="85"/>
        <v>20</v>
      </c>
      <c r="B222"/>
      <c r="C222" t="str">
        <f>$F218</f>
        <v>SHC of Fayette County</v>
      </c>
      <c r="D222" s="3" t="str">
        <f t="shared" si="82"/>
        <v>T_OPEX - Tenant Operating Expenses</v>
      </c>
      <c r="E222"/>
      <c r="F222" s="24" t="str">
        <f>_xll.EVDES(D222)</f>
        <v>Tenant Operating Expenses</v>
      </c>
      <c r="G222" s="19">
        <f ca="1">SUMIFS(OFFSET('BPC Data'!$F:$F,0,Summary!G$2),'BPC Data'!$E:$E,Summary!$D222,'BPC Data'!$B:$B,Summary!$C222)</f>
        <v>403882</v>
      </c>
      <c r="H222" s="183">
        <f ca="1">SUMIFS(OFFSET('BPC Data'!$F:$F,0,Summary!H$2),'BPC Data'!$E:$E,Summary!$D222,'BPC Data'!$B:$B,Summary!$C222)</f>
        <v>415964</v>
      </c>
      <c r="I222" s="19">
        <f ca="1">SUMIFS(OFFSET('BPC Data'!$F:$F,0,Summary!I$2),'BPC Data'!$E:$E,Summary!$D222,'BPC Data'!$B:$B,Summary!$C222)</f>
        <v>341494</v>
      </c>
      <c r="J222" s="183">
        <f ca="1">SUMIFS(OFFSET('BPC Data'!$F:$F,0,Summary!J$2),'BPC Data'!$E:$E,Summary!$D222,'BPC Data'!$B:$B,Summary!$C222)</f>
        <v>450467</v>
      </c>
      <c r="K222" s="19">
        <f ca="1">SUMIFS(OFFSET('BPC Data'!$F:$F,0,Summary!K$2),'BPC Data'!$E:$E,Summary!$D222,'BPC Data'!$B:$B,Summary!$C222)</f>
        <v>389816</v>
      </c>
      <c r="L222" s="183">
        <f ca="1">SUMIFS(OFFSET('BPC Data'!$F:$F,0,Summary!L$2),'BPC Data'!$E:$E,Summary!$D222,'BPC Data'!$B:$B,Summary!$C222)</f>
        <v>357880</v>
      </c>
      <c r="M222" s="19">
        <f ca="1">SUMIFS(OFFSET('BPC Data'!$F:$F,0,Summary!M$2),'BPC Data'!$E:$E,Summary!$D222,'BPC Data'!$B:$B,Summary!$C222)</f>
        <v>384984</v>
      </c>
      <c r="N222" s="183">
        <f ca="1">SUMIFS(OFFSET('BPC Data'!$F:$F,0,Summary!N$2),'BPC Data'!$E:$E,Summary!$D222,'BPC Data'!$B:$B,Summary!$C222)</f>
        <v>382721</v>
      </c>
      <c r="O222" s="19">
        <f ca="1">SUMIFS(OFFSET('BPC Data'!$F:$F,0,Summary!O$2),'BPC Data'!$E:$E,Summary!$D222,'BPC Data'!$B:$B,Summary!$C222)</f>
        <v>384007</v>
      </c>
      <c r="P222" s="183">
        <f ca="1">SUMIFS(OFFSET('BPC Data'!$F:$F,0,Summary!P$2),'BPC Data'!$E:$E,Summary!$D222,'BPC Data'!$B:$B,Summary!$C222)</f>
        <v>409891</v>
      </c>
      <c r="Q222" s="19">
        <f ca="1">SUMIFS(OFFSET('BPC Data'!$F:$F,0,Summary!Q$2),'BPC Data'!$E:$E,Summary!$D222,'BPC Data'!$B:$B,Summary!$C222)</f>
        <v>413643</v>
      </c>
      <c r="R222" s="183">
        <f ca="1">SUMIFS(OFFSET('BPC Data'!$F:$F,0,Summary!R$2),'BPC Data'!$E:$E,Summary!$D222,'BPC Data'!$B:$B,Summary!$C222)</f>
        <v>419291</v>
      </c>
      <c r="S222" s="187">
        <f t="shared" ca="1" si="78"/>
        <v>4754040</v>
      </c>
      <c r="T222" s="181"/>
    </row>
    <row r="223" spans="1:20" s="17" customFormat="1" x14ac:dyDescent="0.25">
      <c r="A223" s="17">
        <f t="shared" si="85"/>
        <v>20</v>
      </c>
      <c r="B223"/>
      <c r="C223" t="str">
        <f>$F218</f>
        <v>SHC of Fayette County</v>
      </c>
      <c r="D223" s="3" t="str">
        <f t="shared" si="82"/>
        <v>T_BAD_DEBT - Tenant Bad Debt Expense</v>
      </c>
      <c r="E223"/>
      <c r="F223" s="24" t="str">
        <f>_xll.EVDES(D223)</f>
        <v>Tenant Bad Debt Expense</v>
      </c>
      <c r="G223" s="19">
        <f ca="1">SUMIFS(OFFSET('BPC Data'!$F:$F,0,Summary!G$2),'BPC Data'!$E:$E,Summary!$D223,'BPC Data'!$B:$B,Summary!$C223)</f>
        <v>12263</v>
      </c>
      <c r="H223" s="183">
        <f ca="1">SUMIFS(OFFSET('BPC Data'!$F:$F,0,Summary!H$2),'BPC Data'!$E:$E,Summary!$D223,'BPC Data'!$B:$B,Summary!$C223)</f>
        <v>24964</v>
      </c>
      <c r="I223" s="19">
        <f ca="1">SUMIFS(OFFSET('BPC Data'!$F:$F,0,Summary!I$2),'BPC Data'!$E:$E,Summary!$D223,'BPC Data'!$B:$B,Summary!$C223)</f>
        <v>17500</v>
      </c>
      <c r="J223" s="183">
        <f ca="1">SUMIFS(OFFSET('BPC Data'!$F:$F,0,Summary!J$2),'BPC Data'!$E:$E,Summary!$D223,'BPC Data'!$B:$B,Summary!$C223)</f>
        <v>43942</v>
      </c>
      <c r="K223" s="19">
        <f ca="1">SUMIFS(OFFSET('BPC Data'!$F:$F,0,Summary!K$2),'BPC Data'!$E:$E,Summary!$D223,'BPC Data'!$B:$B,Summary!$C223)</f>
        <v>6410</v>
      </c>
      <c r="L223" s="183">
        <f ca="1">SUMIFS(OFFSET('BPC Data'!$F:$F,0,Summary!L$2),'BPC Data'!$E:$E,Summary!$D223,'BPC Data'!$B:$B,Summary!$C223)</f>
        <v>7000</v>
      </c>
      <c r="M223" s="19">
        <f ca="1">SUMIFS(OFFSET('BPC Data'!$F:$F,0,Summary!M$2),'BPC Data'!$E:$E,Summary!$D223,'BPC Data'!$B:$B,Summary!$C223)</f>
        <v>0</v>
      </c>
      <c r="N223" s="183">
        <f ca="1">SUMIFS(OFFSET('BPC Data'!$F:$F,0,Summary!N$2),'BPC Data'!$E:$E,Summary!$D223,'BPC Data'!$B:$B,Summary!$C223)</f>
        <v>5000</v>
      </c>
      <c r="O223" s="19">
        <f ca="1">SUMIFS(OFFSET('BPC Data'!$F:$F,0,Summary!O$2),'BPC Data'!$E:$E,Summary!$D223,'BPC Data'!$B:$B,Summary!$C223)</f>
        <v>0</v>
      </c>
      <c r="P223" s="183">
        <f ca="1">SUMIFS(OFFSET('BPC Data'!$F:$F,0,Summary!P$2),'BPC Data'!$E:$E,Summary!$D223,'BPC Data'!$B:$B,Summary!$C223)</f>
        <v>0</v>
      </c>
      <c r="Q223" s="19">
        <f ca="1">SUMIFS(OFFSET('BPC Data'!$F:$F,0,Summary!Q$2),'BPC Data'!$E:$E,Summary!$D223,'BPC Data'!$B:$B,Summary!$C223)</f>
        <v>15000</v>
      </c>
      <c r="R223" s="183">
        <f ca="1">SUMIFS(OFFSET('BPC Data'!$F:$F,0,Summary!R$2),'BPC Data'!$E:$E,Summary!$D223,'BPC Data'!$B:$B,Summary!$C223)</f>
        <v>5000</v>
      </c>
      <c r="S223" s="187">
        <f t="shared" ca="1" si="78"/>
        <v>137079</v>
      </c>
      <c r="T223" s="181"/>
    </row>
    <row r="224" spans="1:20" s="17" customFormat="1" x14ac:dyDescent="0.25">
      <c r="A224" s="17">
        <f t="shared" si="85"/>
        <v>20</v>
      </c>
      <c r="B224"/>
      <c r="C224" t="str">
        <f>$F218</f>
        <v>SHC of Fayette County</v>
      </c>
      <c r="D224" s="2" t="str">
        <f t="shared" si="82"/>
        <v>T_EBITDARM - EBITDARM</v>
      </c>
      <c r="E224"/>
      <c r="F224" s="24" t="str">
        <f>_xll.EVDES(D224)</f>
        <v>EBITDARM</v>
      </c>
      <c r="G224" s="19">
        <f ca="1">SUMIFS(OFFSET('BPC Data'!$F:$F,0,Summary!G$2),'BPC Data'!$E:$E,Summary!$D224,'BPC Data'!$B:$B,Summary!$C224)</f>
        <v>50354</v>
      </c>
      <c r="H224" s="183">
        <f ca="1">SUMIFS(OFFSET('BPC Data'!$F:$F,0,Summary!H$2),'BPC Data'!$E:$E,Summary!$D224,'BPC Data'!$B:$B,Summary!$C224)</f>
        <v>198200</v>
      </c>
      <c r="I224" s="19">
        <f ca="1">SUMIFS(OFFSET('BPC Data'!$F:$F,0,Summary!I$2),'BPC Data'!$E:$E,Summary!$D224,'BPC Data'!$B:$B,Summary!$C224)</f>
        <v>147507</v>
      </c>
      <c r="J224" s="183">
        <f ca="1">SUMIFS(OFFSET('BPC Data'!$F:$F,0,Summary!J$2),'BPC Data'!$E:$E,Summary!$D224,'BPC Data'!$B:$B,Summary!$C224)</f>
        <v>-117350</v>
      </c>
      <c r="K224" s="19">
        <f ca="1">SUMIFS(OFFSET('BPC Data'!$F:$F,0,Summary!K$2),'BPC Data'!$E:$E,Summary!$D224,'BPC Data'!$B:$B,Summary!$C224)</f>
        <v>35872</v>
      </c>
      <c r="L224" s="183">
        <f ca="1">SUMIFS(OFFSET('BPC Data'!$F:$F,0,Summary!L$2),'BPC Data'!$E:$E,Summary!$D224,'BPC Data'!$B:$B,Summary!$C224)</f>
        <v>12048</v>
      </c>
      <c r="M224" s="19">
        <f ca="1">SUMIFS(OFFSET('BPC Data'!$F:$F,0,Summary!M$2),'BPC Data'!$E:$E,Summary!$D224,'BPC Data'!$B:$B,Summary!$C224)</f>
        <v>-49850</v>
      </c>
      <c r="N224" s="183">
        <f ca="1">SUMIFS(OFFSET('BPC Data'!$F:$F,0,Summary!N$2),'BPC Data'!$E:$E,Summary!$D224,'BPC Data'!$B:$B,Summary!$C224)</f>
        <v>-6193</v>
      </c>
      <c r="O224" s="19">
        <f ca="1">SUMIFS(OFFSET('BPC Data'!$F:$F,0,Summary!O$2),'BPC Data'!$E:$E,Summary!$D224,'BPC Data'!$B:$B,Summary!$C224)</f>
        <v>-12541</v>
      </c>
      <c r="P224" s="183">
        <f ca="1">SUMIFS(OFFSET('BPC Data'!$F:$F,0,Summary!P$2),'BPC Data'!$E:$E,Summary!$D224,'BPC Data'!$B:$B,Summary!$C224)</f>
        <v>-66148</v>
      </c>
      <c r="Q224" s="19">
        <f ca="1">SUMIFS(OFFSET('BPC Data'!$F:$F,0,Summary!Q$2),'BPC Data'!$E:$E,Summary!$D224,'BPC Data'!$B:$B,Summary!$C224)</f>
        <v>-2901</v>
      </c>
      <c r="R224" s="183">
        <f ca="1">SUMIFS(OFFSET('BPC Data'!$F:$F,0,Summary!R$2),'BPC Data'!$E:$E,Summary!$D224,'BPC Data'!$B:$B,Summary!$C224)</f>
        <v>-24491</v>
      </c>
      <c r="S224" s="187">
        <f t="shared" ca="1" si="78"/>
        <v>164507</v>
      </c>
      <c r="T224" s="181"/>
    </row>
    <row r="225" spans="1:20" s="17" customFormat="1" x14ac:dyDescent="0.25">
      <c r="A225" s="17">
        <f t="shared" si="85"/>
        <v>20</v>
      </c>
      <c r="B225"/>
      <c r="C225" t="str">
        <f>$F218</f>
        <v>SHC of Fayette County</v>
      </c>
      <c r="D225" s="2" t="str">
        <f t="shared" si="82"/>
        <v>T_MGMT_FEE - Tenant Management Fee - Actual</v>
      </c>
      <c r="E225"/>
      <c r="F225" s="24" t="str">
        <f>_xll.EVDES(D225)</f>
        <v>Tenant Management Fee - Actual</v>
      </c>
      <c r="G225" s="19">
        <f ca="1">SUMIFS(OFFSET('BPC Data'!$F:$F,0,Summary!G$2),'BPC Data'!$E:$E,Summary!$D225,'BPC Data'!$B:$B,Summary!$C225)</f>
        <v>22699</v>
      </c>
      <c r="H225" s="183">
        <f ca="1">SUMIFS(OFFSET('BPC Data'!$F:$F,0,Summary!H$2),'BPC Data'!$E:$E,Summary!$D225,'BPC Data'!$B:$B,Summary!$C225)</f>
        <v>31015</v>
      </c>
      <c r="I225" s="19">
        <f ca="1">SUMIFS(OFFSET('BPC Data'!$F:$F,0,Summary!I$2),'BPC Data'!$E:$E,Summary!$D225,'BPC Data'!$B:$B,Summary!$C225)</f>
        <v>24695</v>
      </c>
      <c r="J225" s="183">
        <f ca="1">SUMIFS(OFFSET('BPC Data'!$F:$F,0,Summary!J$2),'BPC Data'!$E:$E,Summary!$D225,'BPC Data'!$B:$B,Summary!$C225)</f>
        <v>16822</v>
      </c>
      <c r="K225" s="19">
        <f ca="1">SUMIFS(OFFSET('BPC Data'!$F:$F,0,Summary!K$2),'BPC Data'!$E:$E,Summary!$D225,'BPC Data'!$B:$B,Summary!$C225)</f>
        <v>21497</v>
      </c>
      <c r="L225" s="183">
        <f ca="1">SUMIFS(OFFSET('BPC Data'!$F:$F,0,Summary!L$2),'BPC Data'!$E:$E,Summary!$D225,'BPC Data'!$B:$B,Summary!$C225)</f>
        <v>18681</v>
      </c>
      <c r="M225" s="19">
        <f ca="1">SUMIFS(OFFSET('BPC Data'!$F:$F,0,Summary!M$2),'BPC Data'!$E:$E,Summary!$D225,'BPC Data'!$B:$B,Summary!$C225)</f>
        <v>16924</v>
      </c>
      <c r="N225" s="183">
        <f ca="1">SUMIFS(OFFSET('BPC Data'!$F:$F,0,Summary!N$2),'BPC Data'!$E:$E,Summary!$D225,'BPC Data'!$B:$B,Summary!$C225)</f>
        <v>19015</v>
      </c>
      <c r="O225" s="19">
        <f ca="1">SUMIFS(OFFSET('BPC Data'!$F:$F,0,Summary!O$2),'BPC Data'!$E:$E,Summary!$D225,'BPC Data'!$B:$B,Summary!$C225)</f>
        <v>18759</v>
      </c>
      <c r="P225" s="183">
        <f ca="1">SUMIFS(OFFSET('BPC Data'!$F:$F,0,Summary!P$2),'BPC Data'!$E:$E,Summary!$D225,'BPC Data'!$B:$B,Summary!$C225)</f>
        <v>17359</v>
      </c>
      <c r="Q225" s="19">
        <f ca="1">SUMIFS(OFFSET('BPC Data'!$F:$F,0,Summary!Q$2),'BPC Data'!$E:$E,Summary!$D225,'BPC Data'!$B:$B,Summary!$C225)</f>
        <v>20742</v>
      </c>
      <c r="R225" s="183">
        <f ca="1">SUMIFS(OFFSET('BPC Data'!$F:$F,0,Summary!R$2),'BPC Data'!$E:$E,Summary!$D225,'BPC Data'!$B:$B,Summary!$C225)</f>
        <v>19937</v>
      </c>
      <c r="S225" s="187">
        <f t="shared" ca="1" si="78"/>
        <v>248145</v>
      </c>
      <c r="T225" s="181"/>
    </row>
    <row r="226" spans="1:20" s="17" customFormat="1" x14ac:dyDescent="0.25">
      <c r="A226" s="17">
        <f t="shared" si="85"/>
        <v>20</v>
      </c>
      <c r="B226"/>
      <c r="C226" t="str">
        <f>$F218</f>
        <v>SHC of Fayette County</v>
      </c>
      <c r="D226" s="1" t="str">
        <f t="shared" si="82"/>
        <v>T_EBITDAR - EBITDAR</v>
      </c>
      <c r="E226"/>
      <c r="F226" s="24" t="str">
        <f>_xll.EVDES(D226)</f>
        <v>EBITDAR</v>
      </c>
      <c r="G226" s="19">
        <f ca="1">SUMIFS(OFFSET('BPC Data'!$F:$F,0,Summary!G$2),'BPC Data'!$E:$E,Summary!$D226,'BPC Data'!$B:$B,Summary!$C226)</f>
        <v>27655</v>
      </c>
      <c r="H226" s="183">
        <f ca="1">SUMIFS(OFFSET('BPC Data'!$F:$F,0,Summary!H$2),'BPC Data'!$E:$E,Summary!$D226,'BPC Data'!$B:$B,Summary!$C226)</f>
        <v>167185</v>
      </c>
      <c r="I226" s="19">
        <f ca="1">SUMIFS(OFFSET('BPC Data'!$F:$F,0,Summary!I$2),'BPC Data'!$E:$E,Summary!$D226,'BPC Data'!$B:$B,Summary!$C226)</f>
        <v>122812</v>
      </c>
      <c r="J226" s="183">
        <f ca="1">SUMIFS(OFFSET('BPC Data'!$F:$F,0,Summary!J$2),'BPC Data'!$E:$E,Summary!$D226,'BPC Data'!$B:$B,Summary!$C226)</f>
        <v>-134172</v>
      </c>
      <c r="K226" s="19">
        <f ca="1">SUMIFS(OFFSET('BPC Data'!$F:$F,0,Summary!K$2),'BPC Data'!$E:$E,Summary!$D226,'BPC Data'!$B:$B,Summary!$C226)</f>
        <v>14375</v>
      </c>
      <c r="L226" s="183">
        <f ca="1">SUMIFS(OFFSET('BPC Data'!$F:$F,0,Summary!L$2),'BPC Data'!$E:$E,Summary!$D226,'BPC Data'!$B:$B,Summary!$C226)</f>
        <v>-6633</v>
      </c>
      <c r="M226" s="19">
        <f ca="1">SUMIFS(OFFSET('BPC Data'!$F:$F,0,Summary!M$2),'BPC Data'!$E:$E,Summary!$D226,'BPC Data'!$B:$B,Summary!$C226)</f>
        <v>-66774</v>
      </c>
      <c r="N226" s="183">
        <f ca="1">SUMIFS(OFFSET('BPC Data'!$F:$F,0,Summary!N$2),'BPC Data'!$E:$E,Summary!$D226,'BPC Data'!$B:$B,Summary!$C226)</f>
        <v>-25208</v>
      </c>
      <c r="O226" s="19">
        <f ca="1">SUMIFS(OFFSET('BPC Data'!$F:$F,0,Summary!O$2),'BPC Data'!$E:$E,Summary!$D226,'BPC Data'!$B:$B,Summary!$C226)</f>
        <v>-31300</v>
      </c>
      <c r="P226" s="183">
        <f ca="1">SUMIFS(OFFSET('BPC Data'!$F:$F,0,Summary!P$2),'BPC Data'!$E:$E,Summary!$D226,'BPC Data'!$B:$B,Summary!$C226)</f>
        <v>-83507</v>
      </c>
      <c r="Q226" s="19">
        <f ca="1">SUMIFS(OFFSET('BPC Data'!$F:$F,0,Summary!Q$2),'BPC Data'!$E:$E,Summary!$D226,'BPC Data'!$B:$B,Summary!$C226)</f>
        <v>-23643</v>
      </c>
      <c r="R226" s="183">
        <f ca="1">SUMIFS(OFFSET('BPC Data'!$F:$F,0,Summary!R$2),'BPC Data'!$E:$E,Summary!$D226,'BPC Data'!$B:$B,Summary!$C226)</f>
        <v>-44428</v>
      </c>
      <c r="S226" s="187">
        <f t="shared" ca="1" si="78"/>
        <v>-83638</v>
      </c>
      <c r="T226" s="181"/>
    </row>
    <row r="227" spans="1:20" s="17" customFormat="1" x14ac:dyDescent="0.25">
      <c r="A227" s="17">
        <f t="shared" si="85"/>
        <v>20</v>
      </c>
      <c r="B227"/>
      <c r="C227" t="str">
        <f>$F218</f>
        <v>SHC of Fayette County</v>
      </c>
      <c r="D227" s="1" t="str">
        <f t="shared" si="82"/>
        <v>T_RENT_EXP - Tenant Rent Expense</v>
      </c>
      <c r="E227"/>
      <c r="F227" s="24" t="str">
        <f>_xll.EVDES(D227)</f>
        <v>Tenant Rent Expense</v>
      </c>
      <c r="G227" s="19">
        <f ca="1">SUMIFS(OFFSET('BPC Data'!$F:$F,0,Summary!G$2),'BPC Data'!$E:$E,Summary!$D227,'BPC Data'!$B:$B,Summary!$C227)</f>
        <v>405</v>
      </c>
      <c r="H227" s="183">
        <f ca="1">SUMIFS(OFFSET('BPC Data'!$F:$F,0,Summary!H$2),'BPC Data'!$E:$E,Summary!$D227,'BPC Data'!$B:$B,Summary!$C227)</f>
        <v>405</v>
      </c>
      <c r="I227" s="19">
        <f ca="1">SUMIFS(OFFSET('BPC Data'!$F:$F,0,Summary!I$2),'BPC Data'!$E:$E,Summary!$D227,'BPC Data'!$B:$B,Summary!$C227)</f>
        <v>405</v>
      </c>
      <c r="J227" s="183">
        <f ca="1">SUMIFS(OFFSET('BPC Data'!$F:$F,0,Summary!J$2),'BPC Data'!$E:$E,Summary!$D227,'BPC Data'!$B:$B,Summary!$C227)</f>
        <v>415</v>
      </c>
      <c r="K227" s="19">
        <f ca="1">SUMIFS(OFFSET('BPC Data'!$F:$F,0,Summary!K$2),'BPC Data'!$E:$E,Summary!$D227,'BPC Data'!$B:$B,Summary!$C227)</f>
        <v>415</v>
      </c>
      <c r="L227" s="183">
        <f ca="1">SUMIFS(OFFSET('BPC Data'!$F:$F,0,Summary!L$2),'BPC Data'!$E:$E,Summary!$D227,'BPC Data'!$B:$B,Summary!$C227)</f>
        <v>415</v>
      </c>
      <c r="M227" s="19">
        <f ca="1">SUMIFS(OFFSET('BPC Data'!$F:$F,0,Summary!M$2),'BPC Data'!$E:$E,Summary!$D227,'BPC Data'!$B:$B,Summary!$C227)</f>
        <v>415</v>
      </c>
      <c r="N227" s="183">
        <f ca="1">SUMIFS(OFFSET('BPC Data'!$F:$F,0,Summary!N$2),'BPC Data'!$E:$E,Summary!$D227,'BPC Data'!$B:$B,Summary!$C227)</f>
        <v>415</v>
      </c>
      <c r="O227" s="19">
        <f ca="1">SUMIFS(OFFSET('BPC Data'!$F:$F,0,Summary!O$2),'BPC Data'!$E:$E,Summary!$D227,'BPC Data'!$B:$B,Summary!$C227)</f>
        <v>415</v>
      </c>
      <c r="P227" s="183">
        <f ca="1">SUMIFS(OFFSET('BPC Data'!$F:$F,0,Summary!P$2),'BPC Data'!$E:$E,Summary!$D227,'BPC Data'!$B:$B,Summary!$C227)</f>
        <v>415</v>
      </c>
      <c r="Q227" s="19">
        <f ca="1">SUMIFS(OFFSET('BPC Data'!$F:$F,0,Summary!Q$2),'BPC Data'!$E:$E,Summary!$D227,'BPC Data'!$B:$B,Summary!$C227)</f>
        <v>415</v>
      </c>
      <c r="R227" s="183">
        <f ca="1">SUMIFS(OFFSET('BPC Data'!$F:$F,0,Summary!R$2),'BPC Data'!$E:$E,Summary!$D227,'BPC Data'!$B:$B,Summary!$C227)</f>
        <v>415</v>
      </c>
      <c r="S227" s="187">
        <f t="shared" ca="1" si="78"/>
        <v>4950</v>
      </c>
      <c r="T227" s="181"/>
    </row>
    <row r="228" spans="1:20" s="17" customFormat="1" x14ac:dyDescent="0.25">
      <c r="A228" s="17">
        <f t="shared" si="85"/>
        <v>20</v>
      </c>
      <c r="B228"/>
      <c r="C228"/>
      <c r="D228" s="1" t="str">
        <f t="shared" si="82"/>
        <v>x</v>
      </c>
      <c r="E228"/>
      <c r="F228" s="24" t="s">
        <v>0</v>
      </c>
      <c r="G228" s="12">
        <f ca="1">G226/G227</f>
        <v>68.283950617283949</v>
      </c>
      <c r="H228" s="184">
        <f t="shared" ref="H228:I228" ca="1" si="86">H226/H227</f>
        <v>412.80246913580248</v>
      </c>
      <c r="I228" s="12">
        <f t="shared" ca="1" si="86"/>
        <v>303.23950617283953</v>
      </c>
      <c r="J228" s="184">
        <f t="shared" ref="J228:R228" ca="1" si="87">J226/J227</f>
        <v>-323.30602409638556</v>
      </c>
      <c r="K228" s="12">
        <f t="shared" ca="1" si="87"/>
        <v>34.638554216867469</v>
      </c>
      <c r="L228" s="184">
        <f t="shared" ca="1" si="87"/>
        <v>-15.983132530120482</v>
      </c>
      <c r="M228" s="12">
        <f t="shared" ca="1" si="87"/>
        <v>-160.9012048192771</v>
      </c>
      <c r="N228" s="184">
        <f t="shared" ca="1" si="87"/>
        <v>-60.742168674698796</v>
      </c>
      <c r="O228" s="12">
        <f t="shared" ca="1" si="87"/>
        <v>-75.421686746987959</v>
      </c>
      <c r="P228" s="184">
        <f t="shared" ca="1" si="87"/>
        <v>-201.22168674698796</v>
      </c>
      <c r="Q228" s="12">
        <f t="shared" ca="1" si="87"/>
        <v>-56.971084337349396</v>
      </c>
      <c r="R228" s="184">
        <f t="shared" ca="1" si="87"/>
        <v>-107.05542168674698</v>
      </c>
      <c r="S228" s="187">
        <f t="shared" ca="1" si="78"/>
        <v>-182.63792949576083</v>
      </c>
      <c r="T228" s="181"/>
    </row>
    <row r="229" spans="1:20" s="17" customFormat="1" x14ac:dyDescent="0.25">
      <c r="A229" s="17">
        <f>IF(AND(D229&lt;&gt;"",C229=""),A228+1,A228)</f>
        <v>21</v>
      </c>
      <c r="B229" s="5"/>
      <c r="C229" s="5"/>
      <c r="D229" s="5" t="str">
        <f t="shared" si="82"/>
        <v>x</v>
      </c>
      <c r="E229" s="5"/>
      <c r="F229" s="23" t="str">
        <f>INDEX(PropertyList!$D:$D,MATCH(Summary!$A229,PropertyList!$C:$C,0))</f>
        <v>SHC of Warren</v>
      </c>
      <c r="G229" s="11"/>
      <c r="H229" s="182"/>
      <c r="I229" s="11"/>
      <c r="J229" s="182"/>
      <c r="K229" s="11"/>
      <c r="L229" s="182"/>
      <c r="M229" s="11"/>
      <c r="N229" s="182"/>
      <c r="O229" s="11"/>
      <c r="P229" s="182"/>
      <c r="Q229" s="11"/>
      <c r="R229" s="182"/>
      <c r="S229" s="187">
        <f t="shared" si="78"/>
        <v>0</v>
      </c>
      <c r="T229" s="181"/>
    </row>
    <row r="230" spans="1:20" s="17" customFormat="1" x14ac:dyDescent="0.25">
      <c r="A230" s="17">
        <f>IF(AND(F230&lt;&gt;"",D230=""),A229+1,A229)</f>
        <v>21</v>
      </c>
      <c r="C230" t="str">
        <f>$F229</f>
        <v>SHC of Warren</v>
      </c>
      <c r="D230" s="3" t="str">
        <f t="shared" si="82"/>
        <v>PAY_PAT_DAYS - Total Payor Patient Days</v>
      </c>
      <c r="F230" s="24" t="str">
        <f>_xll.EVDES(D230)</f>
        <v>Total Payor Patient Days</v>
      </c>
      <c r="G230" s="19">
        <f ca="1">SUMIFS(OFFSET('BPC Data'!$F:$F,0,Summary!G$2),'BPC Data'!$E:$E,Summary!$D230,'BPC Data'!$B:$B,Summary!$C230)</f>
        <v>0</v>
      </c>
      <c r="H230" s="183">
        <f ca="1">SUMIFS(OFFSET('BPC Data'!$F:$F,0,Summary!H$2),'BPC Data'!$E:$E,Summary!$D230,'BPC Data'!$B:$B,Summary!$C230)</f>
        <v>0</v>
      </c>
      <c r="I230" s="19">
        <f ca="1">SUMIFS(OFFSET('BPC Data'!$F:$F,0,Summary!I$2),'BPC Data'!$E:$E,Summary!$D230,'BPC Data'!$B:$B,Summary!$C230)</f>
        <v>0</v>
      </c>
      <c r="J230" s="183">
        <f ca="1">SUMIFS(OFFSET('BPC Data'!$F:$F,0,Summary!J$2),'BPC Data'!$E:$E,Summary!$D230,'BPC Data'!$B:$B,Summary!$C230)</f>
        <v>0</v>
      </c>
      <c r="K230" s="19">
        <f ca="1">SUMIFS(OFFSET('BPC Data'!$F:$F,0,Summary!K$2),'BPC Data'!$E:$E,Summary!$D230,'BPC Data'!$B:$B,Summary!$C230)</f>
        <v>0</v>
      </c>
      <c r="L230" s="183">
        <f ca="1">SUMIFS(OFFSET('BPC Data'!$F:$F,0,Summary!L$2),'BPC Data'!$E:$E,Summary!$D230,'BPC Data'!$B:$B,Summary!$C230)</f>
        <v>0</v>
      </c>
      <c r="M230" s="19">
        <f ca="1">SUMIFS(OFFSET('BPC Data'!$F:$F,0,Summary!M$2),'BPC Data'!$E:$E,Summary!$D230,'BPC Data'!$B:$B,Summary!$C230)</f>
        <v>0</v>
      </c>
      <c r="N230" s="183">
        <f ca="1">SUMIFS(OFFSET('BPC Data'!$F:$F,0,Summary!N$2),'BPC Data'!$E:$E,Summary!$D230,'BPC Data'!$B:$B,Summary!$C230)</f>
        <v>0</v>
      </c>
      <c r="O230" s="19">
        <f ca="1">SUMIFS(OFFSET('BPC Data'!$F:$F,0,Summary!O$2),'BPC Data'!$E:$E,Summary!$D230,'BPC Data'!$B:$B,Summary!$C230)</f>
        <v>0</v>
      </c>
      <c r="P230" s="183">
        <f ca="1">SUMIFS(OFFSET('BPC Data'!$F:$F,0,Summary!P$2),'BPC Data'!$E:$E,Summary!$D230,'BPC Data'!$B:$B,Summary!$C230)</f>
        <v>0</v>
      </c>
      <c r="Q230" s="19">
        <f ca="1">SUMIFS(OFFSET('BPC Data'!$F:$F,0,Summary!Q$2),'BPC Data'!$E:$E,Summary!$D230,'BPC Data'!$B:$B,Summary!$C230)</f>
        <v>0</v>
      </c>
      <c r="R230" s="183">
        <f ca="1">SUMIFS(OFFSET('BPC Data'!$F:$F,0,Summary!R$2),'BPC Data'!$E:$E,Summary!$D230,'BPC Data'!$B:$B,Summary!$C230)</f>
        <v>0</v>
      </c>
      <c r="S230" s="187">
        <f t="shared" ca="1" si="78"/>
        <v>0</v>
      </c>
      <c r="T230" s="181"/>
    </row>
    <row r="231" spans="1:20" s="17" customFormat="1" x14ac:dyDescent="0.25">
      <c r="A231" s="17">
        <f t="shared" ref="A231:A239" si="88">IF(AND(F231&lt;&gt;"",D231=""),A230+1,A230)</f>
        <v>21</v>
      </c>
      <c r="C231" t="str">
        <f>$F229</f>
        <v>SHC of Warren</v>
      </c>
      <c r="D231" s="3" t="str">
        <f t="shared" si="82"/>
        <v>A_BEDS_TOTAL - Total Available Beds</v>
      </c>
      <c r="F231" s="24" t="str">
        <f>_xll.EVDES(D231)</f>
        <v>Total Available Beds</v>
      </c>
      <c r="G231" s="19">
        <f ca="1">SUMIFS(OFFSET('BPC Data'!$F:$F,0,Summary!G$2),'BPC Data'!$E:$E,Summary!$D231,'BPC Data'!$B:$B,Summary!$C231)</f>
        <v>0</v>
      </c>
      <c r="H231" s="183">
        <f ca="1">SUMIFS(OFFSET('BPC Data'!$F:$F,0,Summary!H$2),'BPC Data'!$E:$E,Summary!$D231,'BPC Data'!$B:$B,Summary!$C231)</f>
        <v>0</v>
      </c>
      <c r="I231" s="19">
        <f ca="1">SUMIFS(OFFSET('BPC Data'!$F:$F,0,Summary!I$2),'BPC Data'!$E:$E,Summary!$D231,'BPC Data'!$B:$B,Summary!$C231)</f>
        <v>0</v>
      </c>
      <c r="J231" s="183">
        <f ca="1">SUMIFS(OFFSET('BPC Data'!$F:$F,0,Summary!J$2),'BPC Data'!$E:$E,Summary!$D231,'BPC Data'!$B:$B,Summary!$C231)</f>
        <v>0</v>
      </c>
      <c r="K231" s="19">
        <f ca="1">SUMIFS(OFFSET('BPC Data'!$F:$F,0,Summary!K$2),'BPC Data'!$E:$E,Summary!$D231,'BPC Data'!$B:$B,Summary!$C231)</f>
        <v>0</v>
      </c>
      <c r="L231" s="183">
        <f ca="1">SUMIFS(OFFSET('BPC Data'!$F:$F,0,Summary!L$2),'BPC Data'!$E:$E,Summary!$D231,'BPC Data'!$B:$B,Summary!$C231)</f>
        <v>0</v>
      </c>
      <c r="M231" s="19">
        <f ca="1">SUMIFS(OFFSET('BPC Data'!$F:$F,0,Summary!M$2),'BPC Data'!$E:$E,Summary!$D231,'BPC Data'!$B:$B,Summary!$C231)</f>
        <v>0</v>
      </c>
      <c r="N231" s="183">
        <f ca="1">SUMIFS(OFFSET('BPC Data'!$F:$F,0,Summary!N$2),'BPC Data'!$E:$E,Summary!$D231,'BPC Data'!$B:$B,Summary!$C231)</f>
        <v>0</v>
      </c>
      <c r="O231" s="19">
        <f ca="1">SUMIFS(OFFSET('BPC Data'!$F:$F,0,Summary!O$2),'BPC Data'!$E:$E,Summary!$D231,'BPC Data'!$B:$B,Summary!$C231)</f>
        <v>0</v>
      </c>
      <c r="P231" s="183">
        <f ca="1">SUMIFS(OFFSET('BPC Data'!$F:$F,0,Summary!P$2),'BPC Data'!$E:$E,Summary!$D231,'BPC Data'!$B:$B,Summary!$C231)</f>
        <v>0</v>
      </c>
      <c r="Q231" s="19">
        <f ca="1">SUMIFS(OFFSET('BPC Data'!$F:$F,0,Summary!Q$2),'BPC Data'!$E:$E,Summary!$D231,'BPC Data'!$B:$B,Summary!$C231)</f>
        <v>0</v>
      </c>
      <c r="R231" s="183">
        <f ca="1">SUMIFS(OFFSET('BPC Data'!$F:$F,0,Summary!R$2),'BPC Data'!$E:$E,Summary!$D231,'BPC Data'!$B:$B,Summary!$C231)</f>
        <v>0</v>
      </c>
      <c r="S231" s="187">
        <f ca="1">R231</f>
        <v>0</v>
      </c>
      <c r="T231" s="181"/>
    </row>
    <row r="232" spans="1:20" s="17" customFormat="1" x14ac:dyDescent="0.25">
      <c r="A232" s="17">
        <f t="shared" si="88"/>
        <v>21</v>
      </c>
      <c r="B232"/>
      <c r="C232" t="str">
        <f>$F229</f>
        <v>SHC of Warren</v>
      </c>
      <c r="D232" s="3" t="str">
        <f t="shared" si="82"/>
        <v>T_REVENUES - Total Tenant Revenues</v>
      </c>
      <c r="E232"/>
      <c r="F232" s="24" t="str">
        <f>_xll.EVDES(D232)</f>
        <v>Total Tenant Revenues</v>
      </c>
      <c r="G232" s="19">
        <f ca="1">SUMIFS(OFFSET('BPC Data'!$F:$F,0,Summary!G$2),'BPC Data'!$E:$E,Summary!$D232,'BPC Data'!$B:$B,Summary!$C232)</f>
        <v>0</v>
      </c>
      <c r="H232" s="183">
        <f ca="1">SUMIFS(OFFSET('BPC Data'!$F:$F,0,Summary!H$2),'BPC Data'!$E:$E,Summary!$D232,'BPC Data'!$B:$B,Summary!$C232)</f>
        <v>0</v>
      </c>
      <c r="I232" s="19">
        <f ca="1">SUMIFS(OFFSET('BPC Data'!$F:$F,0,Summary!I$2),'BPC Data'!$E:$E,Summary!$D232,'BPC Data'!$B:$B,Summary!$C232)</f>
        <v>0</v>
      </c>
      <c r="J232" s="183">
        <f ca="1">SUMIFS(OFFSET('BPC Data'!$F:$F,0,Summary!J$2),'BPC Data'!$E:$E,Summary!$D232,'BPC Data'!$B:$B,Summary!$C232)</f>
        <v>-10703</v>
      </c>
      <c r="K232" s="19">
        <f ca="1">SUMIFS(OFFSET('BPC Data'!$F:$F,0,Summary!K$2),'BPC Data'!$E:$E,Summary!$D232,'BPC Data'!$B:$B,Summary!$C232)</f>
        <v>0</v>
      </c>
      <c r="L232" s="183">
        <f ca="1">SUMIFS(OFFSET('BPC Data'!$F:$F,0,Summary!L$2),'BPC Data'!$E:$E,Summary!$D232,'BPC Data'!$B:$B,Summary!$C232)</f>
        <v>0</v>
      </c>
      <c r="M232" s="19">
        <f ca="1">SUMIFS(OFFSET('BPC Data'!$F:$F,0,Summary!M$2),'BPC Data'!$E:$E,Summary!$D232,'BPC Data'!$B:$B,Summary!$C232)</f>
        <v>0</v>
      </c>
      <c r="N232" s="183">
        <f ca="1">SUMIFS(OFFSET('BPC Data'!$F:$F,0,Summary!N$2),'BPC Data'!$E:$E,Summary!$D232,'BPC Data'!$B:$B,Summary!$C232)</f>
        <v>0</v>
      </c>
      <c r="O232" s="19">
        <f ca="1">SUMIFS(OFFSET('BPC Data'!$F:$F,0,Summary!O$2),'BPC Data'!$E:$E,Summary!$D232,'BPC Data'!$B:$B,Summary!$C232)</f>
        <v>0</v>
      </c>
      <c r="P232" s="183">
        <f ca="1">SUMIFS(OFFSET('BPC Data'!$F:$F,0,Summary!P$2),'BPC Data'!$E:$E,Summary!$D232,'BPC Data'!$B:$B,Summary!$C232)</f>
        <v>0</v>
      </c>
      <c r="Q232" s="19">
        <f ca="1">SUMIFS(OFFSET('BPC Data'!$F:$F,0,Summary!Q$2),'BPC Data'!$E:$E,Summary!$D232,'BPC Data'!$B:$B,Summary!$C232)</f>
        <v>0</v>
      </c>
      <c r="R232" s="183">
        <f ca="1">SUMIFS(OFFSET('BPC Data'!$F:$F,0,Summary!R$2),'BPC Data'!$E:$E,Summary!$D232,'BPC Data'!$B:$B,Summary!$C232)</f>
        <v>0</v>
      </c>
      <c r="S232" s="187">
        <f t="shared" ca="1" si="78"/>
        <v>-10703</v>
      </c>
      <c r="T232" s="181"/>
    </row>
    <row r="233" spans="1:20" s="17" customFormat="1" x14ac:dyDescent="0.25">
      <c r="A233" s="17">
        <f t="shared" si="88"/>
        <v>21</v>
      </c>
      <c r="B233"/>
      <c r="C233" t="str">
        <f>$F229</f>
        <v>SHC of Warren</v>
      </c>
      <c r="D233" s="3" t="str">
        <f t="shared" si="82"/>
        <v>T_OPEX - Tenant Operating Expenses</v>
      </c>
      <c r="E233"/>
      <c r="F233" s="24" t="str">
        <f>_xll.EVDES(D233)</f>
        <v>Tenant Operating Expenses</v>
      </c>
      <c r="G233" s="19">
        <f ca="1">SUMIFS(OFFSET('BPC Data'!$F:$F,0,Summary!G$2),'BPC Data'!$E:$E,Summary!$D233,'BPC Data'!$B:$B,Summary!$C233)</f>
        <v>0</v>
      </c>
      <c r="H233" s="183">
        <f ca="1">SUMIFS(OFFSET('BPC Data'!$F:$F,0,Summary!H$2),'BPC Data'!$E:$E,Summary!$D233,'BPC Data'!$B:$B,Summary!$C233)</f>
        <v>0</v>
      </c>
      <c r="I233" s="19">
        <f ca="1">SUMIFS(OFFSET('BPC Data'!$F:$F,0,Summary!I$2),'BPC Data'!$E:$E,Summary!$D233,'BPC Data'!$B:$B,Summary!$C233)</f>
        <v>0</v>
      </c>
      <c r="J233" s="183">
        <f ca="1">SUMIFS(OFFSET('BPC Data'!$F:$F,0,Summary!J$2),'BPC Data'!$E:$E,Summary!$D233,'BPC Data'!$B:$B,Summary!$C233)</f>
        <v>0</v>
      </c>
      <c r="K233" s="19">
        <f ca="1">SUMIFS(OFFSET('BPC Data'!$F:$F,0,Summary!K$2),'BPC Data'!$E:$E,Summary!$D233,'BPC Data'!$B:$B,Summary!$C233)</f>
        <v>0</v>
      </c>
      <c r="L233" s="183">
        <f ca="1">SUMIFS(OFFSET('BPC Data'!$F:$F,0,Summary!L$2),'BPC Data'!$E:$E,Summary!$D233,'BPC Data'!$B:$B,Summary!$C233)</f>
        <v>0</v>
      </c>
      <c r="M233" s="19">
        <f ca="1">SUMIFS(OFFSET('BPC Data'!$F:$F,0,Summary!M$2),'BPC Data'!$E:$E,Summary!$D233,'BPC Data'!$B:$B,Summary!$C233)</f>
        <v>0</v>
      </c>
      <c r="N233" s="183">
        <f ca="1">SUMIFS(OFFSET('BPC Data'!$F:$F,0,Summary!N$2),'BPC Data'!$E:$E,Summary!$D233,'BPC Data'!$B:$B,Summary!$C233)</f>
        <v>0</v>
      </c>
      <c r="O233" s="19">
        <f ca="1">SUMIFS(OFFSET('BPC Data'!$F:$F,0,Summary!O$2),'BPC Data'!$E:$E,Summary!$D233,'BPC Data'!$B:$B,Summary!$C233)</f>
        <v>0</v>
      </c>
      <c r="P233" s="183">
        <f ca="1">SUMIFS(OFFSET('BPC Data'!$F:$F,0,Summary!P$2),'BPC Data'!$E:$E,Summary!$D233,'BPC Data'!$B:$B,Summary!$C233)</f>
        <v>0</v>
      </c>
      <c r="Q233" s="19">
        <f ca="1">SUMIFS(OFFSET('BPC Data'!$F:$F,0,Summary!Q$2),'BPC Data'!$E:$E,Summary!$D233,'BPC Data'!$B:$B,Summary!$C233)</f>
        <v>0</v>
      </c>
      <c r="R233" s="183">
        <f ca="1">SUMIFS(OFFSET('BPC Data'!$F:$F,0,Summary!R$2),'BPC Data'!$E:$E,Summary!$D233,'BPC Data'!$B:$B,Summary!$C233)</f>
        <v>0</v>
      </c>
      <c r="S233" s="187">
        <f t="shared" ca="1" si="78"/>
        <v>0</v>
      </c>
      <c r="T233" s="181"/>
    </row>
    <row r="234" spans="1:20" s="17" customFormat="1" x14ac:dyDescent="0.25">
      <c r="A234" s="17">
        <f t="shared" si="88"/>
        <v>21</v>
      </c>
      <c r="B234"/>
      <c r="C234" t="str">
        <f>$F229</f>
        <v>SHC of Warren</v>
      </c>
      <c r="D234" s="3" t="str">
        <f t="shared" si="82"/>
        <v>T_BAD_DEBT - Tenant Bad Debt Expense</v>
      </c>
      <c r="E234"/>
      <c r="F234" s="24" t="str">
        <f>_xll.EVDES(D234)</f>
        <v>Tenant Bad Debt Expense</v>
      </c>
      <c r="G234" s="19">
        <f ca="1">SUMIFS(OFFSET('BPC Data'!$F:$F,0,Summary!G$2),'BPC Data'!$E:$E,Summary!$D234,'BPC Data'!$B:$B,Summary!$C234)</f>
        <v>0</v>
      </c>
      <c r="H234" s="183">
        <f ca="1">SUMIFS(OFFSET('BPC Data'!$F:$F,0,Summary!H$2),'BPC Data'!$E:$E,Summary!$D234,'BPC Data'!$B:$B,Summary!$C234)</f>
        <v>0</v>
      </c>
      <c r="I234" s="19">
        <f ca="1">SUMIFS(OFFSET('BPC Data'!$F:$F,0,Summary!I$2),'BPC Data'!$E:$E,Summary!$D234,'BPC Data'!$B:$B,Summary!$C234)</f>
        <v>0</v>
      </c>
      <c r="J234" s="183">
        <f ca="1">SUMIFS(OFFSET('BPC Data'!$F:$F,0,Summary!J$2),'BPC Data'!$E:$E,Summary!$D234,'BPC Data'!$B:$B,Summary!$C234)</f>
        <v>0</v>
      </c>
      <c r="K234" s="19">
        <f ca="1">SUMIFS(OFFSET('BPC Data'!$F:$F,0,Summary!K$2),'BPC Data'!$E:$E,Summary!$D234,'BPC Data'!$B:$B,Summary!$C234)</f>
        <v>0</v>
      </c>
      <c r="L234" s="183">
        <f ca="1">SUMIFS(OFFSET('BPC Data'!$F:$F,0,Summary!L$2),'BPC Data'!$E:$E,Summary!$D234,'BPC Data'!$B:$B,Summary!$C234)</f>
        <v>0</v>
      </c>
      <c r="M234" s="19">
        <f ca="1">SUMIFS(OFFSET('BPC Data'!$F:$F,0,Summary!M$2),'BPC Data'!$E:$E,Summary!$D234,'BPC Data'!$B:$B,Summary!$C234)</f>
        <v>0</v>
      </c>
      <c r="N234" s="183">
        <f ca="1">SUMIFS(OFFSET('BPC Data'!$F:$F,0,Summary!N$2),'BPC Data'!$E:$E,Summary!$D234,'BPC Data'!$B:$B,Summary!$C234)</f>
        <v>0</v>
      </c>
      <c r="O234" s="19">
        <f ca="1">SUMIFS(OFFSET('BPC Data'!$F:$F,0,Summary!O$2),'BPC Data'!$E:$E,Summary!$D234,'BPC Data'!$B:$B,Summary!$C234)</f>
        <v>0</v>
      </c>
      <c r="P234" s="183">
        <f ca="1">SUMIFS(OFFSET('BPC Data'!$F:$F,0,Summary!P$2),'BPC Data'!$E:$E,Summary!$D234,'BPC Data'!$B:$B,Summary!$C234)</f>
        <v>0</v>
      </c>
      <c r="Q234" s="19">
        <f ca="1">SUMIFS(OFFSET('BPC Data'!$F:$F,0,Summary!Q$2),'BPC Data'!$E:$E,Summary!$D234,'BPC Data'!$B:$B,Summary!$C234)</f>
        <v>0</v>
      </c>
      <c r="R234" s="183">
        <f ca="1">SUMIFS(OFFSET('BPC Data'!$F:$F,0,Summary!R$2),'BPC Data'!$E:$E,Summary!$D234,'BPC Data'!$B:$B,Summary!$C234)</f>
        <v>0</v>
      </c>
      <c r="S234" s="187">
        <f t="shared" ca="1" si="78"/>
        <v>0</v>
      </c>
      <c r="T234" s="181"/>
    </row>
    <row r="235" spans="1:20" s="17" customFormat="1" x14ac:dyDescent="0.25">
      <c r="A235" s="17">
        <f t="shared" si="88"/>
        <v>21</v>
      </c>
      <c r="B235"/>
      <c r="C235" t="str">
        <f>$F229</f>
        <v>SHC of Warren</v>
      </c>
      <c r="D235" s="2" t="str">
        <f t="shared" si="82"/>
        <v>T_EBITDARM - EBITDARM</v>
      </c>
      <c r="E235"/>
      <c r="F235" s="24" t="str">
        <f>_xll.EVDES(D235)</f>
        <v>EBITDARM</v>
      </c>
      <c r="G235" s="19">
        <f ca="1">SUMIFS(OFFSET('BPC Data'!$F:$F,0,Summary!G$2),'BPC Data'!$E:$E,Summary!$D235,'BPC Data'!$B:$B,Summary!$C235)</f>
        <v>0</v>
      </c>
      <c r="H235" s="183">
        <f ca="1">SUMIFS(OFFSET('BPC Data'!$F:$F,0,Summary!H$2),'BPC Data'!$E:$E,Summary!$D235,'BPC Data'!$B:$B,Summary!$C235)</f>
        <v>0</v>
      </c>
      <c r="I235" s="19">
        <f ca="1">SUMIFS(OFFSET('BPC Data'!$F:$F,0,Summary!I$2),'BPC Data'!$E:$E,Summary!$D235,'BPC Data'!$B:$B,Summary!$C235)</f>
        <v>0</v>
      </c>
      <c r="J235" s="183">
        <f ca="1">SUMIFS(OFFSET('BPC Data'!$F:$F,0,Summary!J$2),'BPC Data'!$E:$E,Summary!$D235,'BPC Data'!$B:$B,Summary!$C235)</f>
        <v>-10703</v>
      </c>
      <c r="K235" s="19">
        <f ca="1">SUMIFS(OFFSET('BPC Data'!$F:$F,0,Summary!K$2),'BPC Data'!$E:$E,Summary!$D235,'BPC Data'!$B:$B,Summary!$C235)</f>
        <v>0</v>
      </c>
      <c r="L235" s="183">
        <f ca="1">SUMIFS(OFFSET('BPC Data'!$F:$F,0,Summary!L$2),'BPC Data'!$E:$E,Summary!$D235,'BPC Data'!$B:$B,Summary!$C235)</f>
        <v>0</v>
      </c>
      <c r="M235" s="19">
        <f ca="1">SUMIFS(OFFSET('BPC Data'!$F:$F,0,Summary!M$2),'BPC Data'!$E:$E,Summary!$D235,'BPC Data'!$B:$B,Summary!$C235)</f>
        <v>0</v>
      </c>
      <c r="N235" s="183">
        <f ca="1">SUMIFS(OFFSET('BPC Data'!$F:$F,0,Summary!N$2),'BPC Data'!$E:$E,Summary!$D235,'BPC Data'!$B:$B,Summary!$C235)</f>
        <v>0</v>
      </c>
      <c r="O235" s="19">
        <f ca="1">SUMIFS(OFFSET('BPC Data'!$F:$F,0,Summary!O$2),'BPC Data'!$E:$E,Summary!$D235,'BPC Data'!$B:$B,Summary!$C235)</f>
        <v>0</v>
      </c>
      <c r="P235" s="183">
        <f ca="1">SUMIFS(OFFSET('BPC Data'!$F:$F,0,Summary!P$2),'BPC Data'!$E:$E,Summary!$D235,'BPC Data'!$B:$B,Summary!$C235)</f>
        <v>0</v>
      </c>
      <c r="Q235" s="19">
        <f ca="1">SUMIFS(OFFSET('BPC Data'!$F:$F,0,Summary!Q$2),'BPC Data'!$E:$E,Summary!$D235,'BPC Data'!$B:$B,Summary!$C235)</f>
        <v>0</v>
      </c>
      <c r="R235" s="183">
        <f ca="1">SUMIFS(OFFSET('BPC Data'!$F:$F,0,Summary!R$2),'BPC Data'!$E:$E,Summary!$D235,'BPC Data'!$B:$B,Summary!$C235)</f>
        <v>0</v>
      </c>
      <c r="S235" s="187">
        <f t="shared" ca="1" si="78"/>
        <v>-10703</v>
      </c>
      <c r="T235" s="181"/>
    </row>
    <row r="236" spans="1:20" s="17" customFormat="1" x14ac:dyDescent="0.25">
      <c r="A236" s="17">
        <f t="shared" si="88"/>
        <v>21</v>
      </c>
      <c r="B236"/>
      <c r="C236" t="str">
        <f>$F229</f>
        <v>SHC of Warren</v>
      </c>
      <c r="D236" s="2" t="str">
        <f t="shared" si="82"/>
        <v>T_MGMT_FEE - Tenant Management Fee - Actual</v>
      </c>
      <c r="E236"/>
      <c r="F236" s="24" t="str">
        <f>_xll.EVDES(D236)</f>
        <v>Tenant Management Fee - Actual</v>
      </c>
      <c r="G236" s="19">
        <f ca="1">SUMIFS(OFFSET('BPC Data'!$F:$F,0,Summary!G$2),'BPC Data'!$E:$E,Summary!$D236,'BPC Data'!$B:$B,Summary!$C236)</f>
        <v>0</v>
      </c>
      <c r="H236" s="183">
        <f ca="1">SUMIFS(OFFSET('BPC Data'!$F:$F,0,Summary!H$2),'BPC Data'!$E:$E,Summary!$D236,'BPC Data'!$B:$B,Summary!$C236)</f>
        <v>0</v>
      </c>
      <c r="I236" s="19">
        <f ca="1">SUMIFS(OFFSET('BPC Data'!$F:$F,0,Summary!I$2),'BPC Data'!$E:$E,Summary!$D236,'BPC Data'!$B:$B,Summary!$C236)</f>
        <v>0</v>
      </c>
      <c r="J236" s="183">
        <f ca="1">SUMIFS(OFFSET('BPC Data'!$F:$F,0,Summary!J$2),'BPC Data'!$E:$E,Summary!$D236,'BPC Data'!$B:$B,Summary!$C236)</f>
        <v>-541</v>
      </c>
      <c r="K236" s="19">
        <f ca="1">SUMIFS(OFFSET('BPC Data'!$F:$F,0,Summary!K$2),'BPC Data'!$E:$E,Summary!$D236,'BPC Data'!$B:$B,Summary!$C236)</f>
        <v>0</v>
      </c>
      <c r="L236" s="183">
        <f ca="1">SUMIFS(OFFSET('BPC Data'!$F:$F,0,Summary!L$2),'BPC Data'!$E:$E,Summary!$D236,'BPC Data'!$B:$B,Summary!$C236)</f>
        <v>0</v>
      </c>
      <c r="M236" s="19">
        <f ca="1">SUMIFS(OFFSET('BPC Data'!$F:$F,0,Summary!M$2),'BPC Data'!$E:$E,Summary!$D236,'BPC Data'!$B:$B,Summary!$C236)</f>
        <v>0</v>
      </c>
      <c r="N236" s="183">
        <f ca="1">SUMIFS(OFFSET('BPC Data'!$F:$F,0,Summary!N$2),'BPC Data'!$E:$E,Summary!$D236,'BPC Data'!$B:$B,Summary!$C236)</f>
        <v>0</v>
      </c>
      <c r="O236" s="19">
        <f ca="1">SUMIFS(OFFSET('BPC Data'!$F:$F,0,Summary!O$2),'BPC Data'!$E:$E,Summary!$D236,'BPC Data'!$B:$B,Summary!$C236)</f>
        <v>0</v>
      </c>
      <c r="P236" s="183">
        <f ca="1">SUMIFS(OFFSET('BPC Data'!$F:$F,0,Summary!P$2),'BPC Data'!$E:$E,Summary!$D236,'BPC Data'!$B:$B,Summary!$C236)</f>
        <v>0</v>
      </c>
      <c r="Q236" s="19">
        <f ca="1">SUMIFS(OFFSET('BPC Data'!$F:$F,0,Summary!Q$2),'BPC Data'!$E:$E,Summary!$D236,'BPC Data'!$B:$B,Summary!$C236)</f>
        <v>0</v>
      </c>
      <c r="R236" s="183">
        <f ca="1">SUMIFS(OFFSET('BPC Data'!$F:$F,0,Summary!R$2),'BPC Data'!$E:$E,Summary!$D236,'BPC Data'!$B:$B,Summary!$C236)</f>
        <v>0</v>
      </c>
      <c r="S236" s="187">
        <f t="shared" ca="1" si="78"/>
        <v>-541</v>
      </c>
      <c r="T236" s="181"/>
    </row>
    <row r="237" spans="1:20" s="17" customFormat="1" x14ac:dyDescent="0.25">
      <c r="A237" s="17">
        <f t="shared" si="88"/>
        <v>21</v>
      </c>
      <c r="B237"/>
      <c r="C237" t="str">
        <f>$F229</f>
        <v>SHC of Warren</v>
      </c>
      <c r="D237" s="1" t="str">
        <f t="shared" si="82"/>
        <v>T_EBITDAR - EBITDAR</v>
      </c>
      <c r="E237"/>
      <c r="F237" s="24" t="str">
        <f>_xll.EVDES(D237)</f>
        <v>EBITDAR</v>
      </c>
      <c r="G237" s="19">
        <f ca="1">SUMIFS(OFFSET('BPC Data'!$F:$F,0,Summary!G$2),'BPC Data'!$E:$E,Summary!$D237,'BPC Data'!$B:$B,Summary!$C237)</f>
        <v>0</v>
      </c>
      <c r="H237" s="183">
        <f ca="1">SUMIFS(OFFSET('BPC Data'!$F:$F,0,Summary!H$2),'BPC Data'!$E:$E,Summary!$D237,'BPC Data'!$B:$B,Summary!$C237)</f>
        <v>0</v>
      </c>
      <c r="I237" s="19">
        <f ca="1">SUMIFS(OFFSET('BPC Data'!$F:$F,0,Summary!I$2),'BPC Data'!$E:$E,Summary!$D237,'BPC Data'!$B:$B,Summary!$C237)</f>
        <v>0</v>
      </c>
      <c r="J237" s="183">
        <f ca="1">SUMIFS(OFFSET('BPC Data'!$F:$F,0,Summary!J$2),'BPC Data'!$E:$E,Summary!$D237,'BPC Data'!$B:$B,Summary!$C237)</f>
        <v>-10162</v>
      </c>
      <c r="K237" s="19">
        <f ca="1">SUMIFS(OFFSET('BPC Data'!$F:$F,0,Summary!K$2),'BPC Data'!$E:$E,Summary!$D237,'BPC Data'!$B:$B,Summary!$C237)</f>
        <v>0</v>
      </c>
      <c r="L237" s="183">
        <f ca="1">SUMIFS(OFFSET('BPC Data'!$F:$F,0,Summary!L$2),'BPC Data'!$E:$E,Summary!$D237,'BPC Data'!$B:$B,Summary!$C237)</f>
        <v>0</v>
      </c>
      <c r="M237" s="19">
        <f ca="1">SUMIFS(OFFSET('BPC Data'!$F:$F,0,Summary!M$2),'BPC Data'!$E:$E,Summary!$D237,'BPC Data'!$B:$B,Summary!$C237)</f>
        <v>0</v>
      </c>
      <c r="N237" s="183">
        <f ca="1">SUMIFS(OFFSET('BPC Data'!$F:$F,0,Summary!N$2),'BPC Data'!$E:$E,Summary!$D237,'BPC Data'!$B:$B,Summary!$C237)</f>
        <v>0</v>
      </c>
      <c r="O237" s="19">
        <f ca="1">SUMIFS(OFFSET('BPC Data'!$F:$F,0,Summary!O$2),'BPC Data'!$E:$E,Summary!$D237,'BPC Data'!$B:$B,Summary!$C237)</f>
        <v>0</v>
      </c>
      <c r="P237" s="183">
        <f ca="1">SUMIFS(OFFSET('BPC Data'!$F:$F,0,Summary!P$2),'BPC Data'!$E:$E,Summary!$D237,'BPC Data'!$B:$B,Summary!$C237)</f>
        <v>0</v>
      </c>
      <c r="Q237" s="19">
        <f ca="1">SUMIFS(OFFSET('BPC Data'!$F:$F,0,Summary!Q$2),'BPC Data'!$E:$E,Summary!$D237,'BPC Data'!$B:$B,Summary!$C237)</f>
        <v>0</v>
      </c>
      <c r="R237" s="183">
        <f ca="1">SUMIFS(OFFSET('BPC Data'!$F:$F,0,Summary!R$2),'BPC Data'!$E:$E,Summary!$D237,'BPC Data'!$B:$B,Summary!$C237)</f>
        <v>0</v>
      </c>
      <c r="S237" s="187">
        <f t="shared" ca="1" si="78"/>
        <v>-10162</v>
      </c>
      <c r="T237" s="181"/>
    </row>
    <row r="238" spans="1:20" s="17" customFormat="1" x14ac:dyDescent="0.25">
      <c r="A238" s="17">
        <f t="shared" si="88"/>
        <v>21</v>
      </c>
      <c r="B238"/>
      <c r="C238" t="str">
        <f>$F229</f>
        <v>SHC of Warren</v>
      </c>
      <c r="D238" s="1" t="str">
        <f t="shared" si="82"/>
        <v>T_RENT_EXP - Tenant Rent Expense</v>
      </c>
      <c r="E238"/>
      <c r="F238" s="24" t="str">
        <f>_xll.EVDES(D238)</f>
        <v>Tenant Rent Expense</v>
      </c>
      <c r="G238" s="19">
        <f ca="1">SUMIFS(OFFSET('BPC Data'!$F:$F,0,Summary!G$2),'BPC Data'!$E:$E,Summary!$D238,'BPC Data'!$B:$B,Summary!$C238)</f>
        <v>0</v>
      </c>
      <c r="H238" s="183">
        <f ca="1">SUMIFS(OFFSET('BPC Data'!$F:$F,0,Summary!H$2),'BPC Data'!$E:$E,Summary!$D238,'BPC Data'!$B:$B,Summary!$C238)</f>
        <v>0</v>
      </c>
      <c r="I238" s="19">
        <f ca="1">SUMIFS(OFFSET('BPC Data'!$F:$F,0,Summary!I$2),'BPC Data'!$E:$E,Summary!$D238,'BPC Data'!$B:$B,Summary!$C238)</f>
        <v>0</v>
      </c>
      <c r="J238" s="183">
        <f ca="1">SUMIFS(OFFSET('BPC Data'!$F:$F,0,Summary!J$2),'BPC Data'!$E:$E,Summary!$D238,'BPC Data'!$B:$B,Summary!$C238)</f>
        <v>0</v>
      </c>
      <c r="K238" s="19">
        <f ca="1">SUMIFS(OFFSET('BPC Data'!$F:$F,0,Summary!K$2),'BPC Data'!$E:$E,Summary!$D238,'BPC Data'!$B:$B,Summary!$C238)</f>
        <v>0</v>
      </c>
      <c r="L238" s="183">
        <f ca="1">SUMIFS(OFFSET('BPC Data'!$F:$F,0,Summary!L$2),'BPC Data'!$E:$E,Summary!$D238,'BPC Data'!$B:$B,Summary!$C238)</f>
        <v>0</v>
      </c>
      <c r="M238" s="19">
        <f ca="1">SUMIFS(OFFSET('BPC Data'!$F:$F,0,Summary!M$2),'BPC Data'!$E:$E,Summary!$D238,'BPC Data'!$B:$B,Summary!$C238)</f>
        <v>0</v>
      </c>
      <c r="N238" s="183">
        <f ca="1">SUMIFS(OFFSET('BPC Data'!$F:$F,0,Summary!N$2),'BPC Data'!$E:$E,Summary!$D238,'BPC Data'!$B:$B,Summary!$C238)</f>
        <v>0</v>
      </c>
      <c r="O238" s="19">
        <f ca="1">SUMIFS(OFFSET('BPC Data'!$F:$F,0,Summary!O$2),'BPC Data'!$E:$E,Summary!$D238,'BPC Data'!$B:$B,Summary!$C238)</f>
        <v>0</v>
      </c>
      <c r="P238" s="183">
        <f ca="1">SUMIFS(OFFSET('BPC Data'!$F:$F,0,Summary!P$2),'BPC Data'!$E:$E,Summary!$D238,'BPC Data'!$B:$B,Summary!$C238)</f>
        <v>0</v>
      </c>
      <c r="Q238" s="19">
        <f ca="1">SUMIFS(OFFSET('BPC Data'!$F:$F,0,Summary!Q$2),'BPC Data'!$E:$E,Summary!$D238,'BPC Data'!$B:$B,Summary!$C238)</f>
        <v>0</v>
      </c>
      <c r="R238" s="183">
        <f ca="1">SUMIFS(OFFSET('BPC Data'!$F:$F,0,Summary!R$2),'BPC Data'!$E:$E,Summary!$D238,'BPC Data'!$B:$B,Summary!$C238)</f>
        <v>0</v>
      </c>
      <c r="S238" s="187">
        <f t="shared" ca="1" si="78"/>
        <v>0</v>
      </c>
      <c r="T238" s="181"/>
    </row>
    <row r="239" spans="1:20" s="17" customFormat="1" x14ac:dyDescent="0.25">
      <c r="A239" s="17">
        <f t="shared" si="88"/>
        <v>21</v>
      </c>
      <c r="B239"/>
      <c r="C239"/>
      <c r="D239" s="1" t="str">
        <f t="shared" si="82"/>
        <v>x</v>
      </c>
      <c r="E239"/>
      <c r="F239" s="24" t="s">
        <v>0</v>
      </c>
      <c r="G239" s="12" t="e">
        <f ca="1">G237/G238</f>
        <v>#DIV/0!</v>
      </c>
      <c r="H239" s="184" t="e">
        <f t="shared" ref="H239:I239" ca="1" si="89">H237/H238</f>
        <v>#DIV/0!</v>
      </c>
      <c r="I239" s="12" t="e">
        <f t="shared" ca="1" si="89"/>
        <v>#DIV/0!</v>
      </c>
      <c r="J239" s="184" t="e">
        <f t="shared" ref="J239:R239" ca="1" si="90">J237/J238</f>
        <v>#DIV/0!</v>
      </c>
      <c r="K239" s="12" t="e">
        <f t="shared" ca="1" si="90"/>
        <v>#DIV/0!</v>
      </c>
      <c r="L239" s="184" t="e">
        <f t="shared" ca="1" si="90"/>
        <v>#DIV/0!</v>
      </c>
      <c r="M239" s="12" t="e">
        <f t="shared" ca="1" si="90"/>
        <v>#DIV/0!</v>
      </c>
      <c r="N239" s="184" t="e">
        <f t="shared" ca="1" si="90"/>
        <v>#DIV/0!</v>
      </c>
      <c r="O239" s="12" t="e">
        <f t="shared" ca="1" si="90"/>
        <v>#DIV/0!</v>
      </c>
      <c r="P239" s="184" t="e">
        <f t="shared" ca="1" si="90"/>
        <v>#DIV/0!</v>
      </c>
      <c r="Q239" s="12" t="e">
        <f t="shared" ca="1" si="90"/>
        <v>#DIV/0!</v>
      </c>
      <c r="R239" s="184" t="e">
        <f t="shared" ca="1" si="90"/>
        <v>#DIV/0!</v>
      </c>
      <c r="S239" s="187" t="e">
        <f t="shared" ca="1" si="78"/>
        <v>#DIV/0!</v>
      </c>
      <c r="T239" s="181"/>
    </row>
    <row r="240" spans="1:20" s="17" customFormat="1" outlineLevel="1" x14ac:dyDescent="0.25">
      <c r="A240" s="17">
        <f>IF(AND(D240&lt;&gt;"",C240=""),A239+1,A239)</f>
        <v>22</v>
      </c>
      <c r="B240" s="5"/>
      <c r="C240" s="5"/>
      <c r="D240" s="5" t="str">
        <f t="shared" si="82"/>
        <v>x</v>
      </c>
      <c r="E240" s="5"/>
      <c r="F240" s="23" t="str">
        <f>INDEX(PropertyList!$D:$D,MATCH(Summary!$A240,PropertyList!$C:$C,0))</f>
        <v>SHC of Galion</v>
      </c>
      <c r="G240" s="11"/>
      <c r="H240" s="182"/>
      <c r="I240" s="11"/>
      <c r="J240" s="182"/>
      <c r="K240" s="11"/>
      <c r="L240" s="182"/>
      <c r="M240" s="11"/>
      <c r="N240" s="182"/>
      <c r="O240" s="11"/>
      <c r="P240" s="182"/>
      <c r="Q240" s="11"/>
      <c r="R240" s="182"/>
      <c r="S240" s="187">
        <f t="shared" si="78"/>
        <v>0</v>
      </c>
      <c r="T240" s="181"/>
    </row>
    <row r="241" spans="1:20" s="17" customFormat="1" outlineLevel="1" x14ac:dyDescent="0.25">
      <c r="A241" s="17">
        <f>IF(AND(F241&lt;&gt;"",D241=""),A240+1,A240)</f>
        <v>22</v>
      </c>
      <c r="C241" t="str">
        <f>$F240</f>
        <v>SHC of Galion</v>
      </c>
      <c r="D241" s="3" t="str">
        <f t="shared" si="82"/>
        <v>PAY_PAT_DAYS - Total Payor Patient Days</v>
      </c>
      <c r="F241" s="24" t="str">
        <f>_xll.EVDES(D241)</f>
        <v>Total Payor Patient Days</v>
      </c>
      <c r="G241" s="19">
        <f ca="1">SUMIFS(OFFSET('BPC Data'!$F:$F,0,Summary!G$2),'BPC Data'!$E:$E,Summary!$D241,'BPC Data'!$B:$B,Summary!$C241)</f>
        <v>1571</v>
      </c>
      <c r="H241" s="183">
        <f ca="1">SUMIFS(OFFSET('BPC Data'!$F:$F,0,Summary!H$2),'BPC Data'!$E:$E,Summary!$D241,'BPC Data'!$B:$B,Summary!$C241)</f>
        <v>1665</v>
      </c>
      <c r="I241" s="19">
        <f ca="1">SUMIFS(OFFSET('BPC Data'!$F:$F,0,Summary!I$2),'BPC Data'!$E:$E,Summary!$D241,'BPC Data'!$B:$B,Summary!$C241)</f>
        <v>1731</v>
      </c>
      <c r="J241" s="183">
        <f ca="1">SUMIFS(OFFSET('BPC Data'!$F:$F,0,Summary!J$2),'BPC Data'!$E:$E,Summary!$D241,'BPC Data'!$B:$B,Summary!$C241)</f>
        <v>1565</v>
      </c>
      <c r="K241" s="19">
        <f ca="1">SUMIFS(OFFSET('BPC Data'!$F:$F,0,Summary!K$2),'BPC Data'!$E:$E,Summary!$D241,'BPC Data'!$B:$B,Summary!$C241)</f>
        <v>1537</v>
      </c>
      <c r="L241" s="183">
        <f ca="1">SUMIFS(OFFSET('BPC Data'!$F:$F,0,Summary!L$2),'BPC Data'!$E:$E,Summary!$D241,'BPC Data'!$B:$B,Summary!$C241)</f>
        <v>1381</v>
      </c>
      <c r="M241" s="19">
        <f ca="1">SUMIFS(OFFSET('BPC Data'!$F:$F,0,Summary!M$2),'BPC Data'!$E:$E,Summary!$D241,'BPC Data'!$B:$B,Summary!$C241)</f>
        <v>1545</v>
      </c>
      <c r="N241" s="183">
        <f ca="1">SUMIFS(OFFSET('BPC Data'!$F:$F,0,Summary!N$2),'BPC Data'!$E:$E,Summary!$D241,'BPC Data'!$B:$B,Summary!$C241)</f>
        <v>1477</v>
      </c>
      <c r="O241" s="19">
        <f ca="1">SUMIFS(OFFSET('BPC Data'!$F:$F,0,Summary!O$2),'BPC Data'!$E:$E,Summary!$D241,'BPC Data'!$B:$B,Summary!$C241)</f>
        <v>1576</v>
      </c>
      <c r="P241" s="183">
        <f ca="1">SUMIFS(OFFSET('BPC Data'!$F:$F,0,Summary!P$2),'BPC Data'!$E:$E,Summary!$D241,'BPC Data'!$B:$B,Summary!$C241)</f>
        <v>1627</v>
      </c>
      <c r="Q241" s="19">
        <f ca="1">SUMIFS(OFFSET('BPC Data'!$F:$F,0,Summary!Q$2),'BPC Data'!$E:$E,Summary!$D241,'BPC Data'!$B:$B,Summary!$C241)</f>
        <v>1718</v>
      </c>
      <c r="R241" s="183">
        <f ca="1">SUMIFS(OFFSET('BPC Data'!$F:$F,0,Summary!R$2),'BPC Data'!$E:$E,Summary!$D241,'BPC Data'!$B:$B,Summary!$C241)</f>
        <v>1843</v>
      </c>
      <c r="S241" s="187">
        <f t="shared" ca="1" si="78"/>
        <v>19236</v>
      </c>
      <c r="T241" s="181"/>
    </row>
    <row r="242" spans="1:20" s="17" customFormat="1" outlineLevel="1" x14ac:dyDescent="0.25">
      <c r="A242" s="17">
        <f t="shared" ref="A242:A250" si="91">IF(AND(F242&lt;&gt;"",D242=""),A241+1,A241)</f>
        <v>22</v>
      </c>
      <c r="C242" t="str">
        <f>$F240</f>
        <v>SHC of Galion</v>
      </c>
      <c r="D242" s="3" t="str">
        <f t="shared" si="82"/>
        <v>A_BEDS_TOTAL - Total Available Beds</v>
      </c>
      <c r="F242" s="24" t="str">
        <f>_xll.EVDES(D242)</f>
        <v>Total Available Beds</v>
      </c>
      <c r="G242" s="19">
        <f ca="1">SUMIFS(OFFSET('BPC Data'!$F:$F,0,Summary!G$2),'BPC Data'!$E:$E,Summary!$D242,'BPC Data'!$B:$B,Summary!$C242)</f>
        <v>62</v>
      </c>
      <c r="H242" s="183">
        <f ca="1">SUMIFS(OFFSET('BPC Data'!$F:$F,0,Summary!H$2),'BPC Data'!$E:$E,Summary!$D242,'BPC Data'!$B:$B,Summary!$C242)</f>
        <v>62</v>
      </c>
      <c r="I242" s="19">
        <f ca="1">SUMIFS(OFFSET('BPC Data'!$F:$F,0,Summary!I$2),'BPC Data'!$E:$E,Summary!$D242,'BPC Data'!$B:$B,Summary!$C242)</f>
        <v>62</v>
      </c>
      <c r="J242" s="183">
        <f ca="1">SUMIFS(OFFSET('BPC Data'!$F:$F,0,Summary!J$2),'BPC Data'!$E:$E,Summary!$D242,'BPC Data'!$B:$B,Summary!$C242)</f>
        <v>62</v>
      </c>
      <c r="K242" s="19">
        <f ca="1">SUMIFS(OFFSET('BPC Data'!$F:$F,0,Summary!K$2),'BPC Data'!$E:$E,Summary!$D242,'BPC Data'!$B:$B,Summary!$C242)</f>
        <v>62</v>
      </c>
      <c r="L242" s="183">
        <f ca="1">SUMIFS(OFFSET('BPC Data'!$F:$F,0,Summary!L$2),'BPC Data'!$E:$E,Summary!$D242,'BPC Data'!$B:$B,Summary!$C242)</f>
        <v>62</v>
      </c>
      <c r="M242" s="19">
        <f ca="1">SUMIFS(OFFSET('BPC Data'!$F:$F,0,Summary!M$2),'BPC Data'!$E:$E,Summary!$D242,'BPC Data'!$B:$B,Summary!$C242)</f>
        <v>62</v>
      </c>
      <c r="N242" s="183">
        <f ca="1">SUMIFS(OFFSET('BPC Data'!$F:$F,0,Summary!N$2),'BPC Data'!$E:$E,Summary!$D242,'BPC Data'!$B:$B,Summary!$C242)</f>
        <v>62</v>
      </c>
      <c r="O242" s="19">
        <f ca="1">SUMIFS(OFFSET('BPC Data'!$F:$F,0,Summary!O$2),'BPC Data'!$E:$E,Summary!$D242,'BPC Data'!$B:$B,Summary!$C242)</f>
        <v>62</v>
      </c>
      <c r="P242" s="183">
        <f ca="1">SUMIFS(OFFSET('BPC Data'!$F:$F,0,Summary!P$2),'BPC Data'!$E:$E,Summary!$D242,'BPC Data'!$B:$B,Summary!$C242)</f>
        <v>62</v>
      </c>
      <c r="Q242" s="19">
        <f ca="1">SUMIFS(OFFSET('BPC Data'!$F:$F,0,Summary!Q$2),'BPC Data'!$E:$E,Summary!$D242,'BPC Data'!$B:$B,Summary!$C242)</f>
        <v>62</v>
      </c>
      <c r="R242" s="183">
        <f ca="1">SUMIFS(OFFSET('BPC Data'!$F:$F,0,Summary!R$2),'BPC Data'!$E:$E,Summary!$D242,'BPC Data'!$B:$B,Summary!$C242)</f>
        <v>62</v>
      </c>
      <c r="S242" s="187">
        <f ca="1">R242</f>
        <v>62</v>
      </c>
      <c r="T242" s="181"/>
    </row>
    <row r="243" spans="1:20" s="17" customFormat="1" outlineLevel="1" x14ac:dyDescent="0.25">
      <c r="A243" s="17">
        <f t="shared" si="91"/>
        <v>22</v>
      </c>
      <c r="B243"/>
      <c r="C243" t="str">
        <f>$F240</f>
        <v>SHC of Galion</v>
      </c>
      <c r="D243" s="3" t="str">
        <f t="shared" si="82"/>
        <v>T_REVENUES - Total Tenant Revenues</v>
      </c>
      <c r="E243"/>
      <c r="F243" s="24" t="str">
        <f>_xll.EVDES(D243)</f>
        <v>Total Tenant Revenues</v>
      </c>
      <c r="G243" s="19">
        <f ca="1">SUMIFS(OFFSET('BPC Data'!$F:$F,0,Summary!G$2),'BPC Data'!$E:$E,Summary!$D243,'BPC Data'!$B:$B,Summary!$C243)</f>
        <v>446666</v>
      </c>
      <c r="H243" s="183">
        <f ca="1">SUMIFS(OFFSET('BPC Data'!$F:$F,0,Summary!H$2),'BPC Data'!$E:$E,Summary!$D243,'BPC Data'!$B:$B,Summary!$C243)</f>
        <v>583681</v>
      </c>
      <c r="I243" s="19">
        <f ca="1">SUMIFS(OFFSET('BPC Data'!$F:$F,0,Summary!I$2),'BPC Data'!$E:$E,Summary!$D243,'BPC Data'!$B:$B,Summary!$C243)</f>
        <v>381866</v>
      </c>
      <c r="J243" s="183">
        <f ca="1">SUMIFS(OFFSET('BPC Data'!$F:$F,0,Summary!J$2),'BPC Data'!$E:$E,Summary!$D243,'BPC Data'!$B:$B,Summary!$C243)</f>
        <v>360159</v>
      </c>
      <c r="K243" s="19">
        <f ca="1">SUMIFS(OFFSET('BPC Data'!$F:$F,0,Summary!K$2),'BPC Data'!$E:$E,Summary!$D243,'BPC Data'!$B:$B,Summary!$C243)</f>
        <v>449818</v>
      </c>
      <c r="L243" s="183">
        <f ca="1">SUMIFS(OFFSET('BPC Data'!$F:$F,0,Summary!L$2),'BPC Data'!$E:$E,Summary!$D243,'BPC Data'!$B:$B,Summary!$C243)</f>
        <v>391587</v>
      </c>
      <c r="M243" s="19">
        <f ca="1">SUMIFS(OFFSET('BPC Data'!$F:$F,0,Summary!M$2),'BPC Data'!$E:$E,Summary!$D243,'BPC Data'!$B:$B,Summary!$C243)</f>
        <v>428920</v>
      </c>
      <c r="N243" s="183">
        <f ca="1">SUMIFS(OFFSET('BPC Data'!$F:$F,0,Summary!N$2),'BPC Data'!$E:$E,Summary!$D243,'BPC Data'!$B:$B,Summary!$C243)</f>
        <v>401467</v>
      </c>
      <c r="O243" s="19">
        <f ca="1">SUMIFS(OFFSET('BPC Data'!$F:$F,0,Summary!O$2),'BPC Data'!$E:$E,Summary!$D243,'BPC Data'!$B:$B,Summary!$C243)</f>
        <v>410921</v>
      </c>
      <c r="P243" s="183">
        <f ca="1">SUMIFS(OFFSET('BPC Data'!$F:$F,0,Summary!P$2),'BPC Data'!$E:$E,Summary!$D243,'BPC Data'!$B:$B,Summary!$C243)</f>
        <v>396125</v>
      </c>
      <c r="Q243" s="19">
        <f ca="1">SUMIFS(OFFSET('BPC Data'!$F:$F,0,Summary!Q$2),'BPC Data'!$E:$E,Summary!$D243,'BPC Data'!$B:$B,Summary!$C243)</f>
        <v>444393</v>
      </c>
      <c r="R243" s="183">
        <f ca="1">SUMIFS(OFFSET('BPC Data'!$F:$F,0,Summary!R$2),'BPC Data'!$E:$E,Summary!$D243,'BPC Data'!$B:$B,Summary!$C243)</f>
        <v>490760</v>
      </c>
      <c r="S243" s="187">
        <f t="shared" ca="1" si="78"/>
        <v>5186363</v>
      </c>
      <c r="T243" s="181"/>
    </row>
    <row r="244" spans="1:20" s="17" customFormat="1" outlineLevel="1" x14ac:dyDescent="0.25">
      <c r="A244" s="17">
        <f t="shared" si="91"/>
        <v>22</v>
      </c>
      <c r="B244"/>
      <c r="C244" t="str">
        <f>$F240</f>
        <v>SHC of Galion</v>
      </c>
      <c r="D244" s="3" t="str">
        <f t="shared" si="82"/>
        <v>T_OPEX - Tenant Operating Expenses</v>
      </c>
      <c r="E244"/>
      <c r="F244" s="24" t="str">
        <f>_xll.EVDES(D244)</f>
        <v>Tenant Operating Expenses</v>
      </c>
      <c r="G244" s="19">
        <f ca="1">SUMIFS(OFFSET('BPC Data'!$F:$F,0,Summary!G$2),'BPC Data'!$E:$E,Summary!$D244,'BPC Data'!$B:$B,Summary!$C244)</f>
        <v>454774</v>
      </c>
      <c r="H244" s="183">
        <f ca="1">SUMIFS(OFFSET('BPC Data'!$F:$F,0,Summary!H$2),'BPC Data'!$E:$E,Summary!$D244,'BPC Data'!$B:$B,Summary!$C244)</f>
        <v>388593</v>
      </c>
      <c r="I244" s="19">
        <f ca="1">SUMIFS(OFFSET('BPC Data'!$F:$F,0,Summary!I$2),'BPC Data'!$E:$E,Summary!$D244,'BPC Data'!$B:$B,Summary!$C244)</f>
        <v>251788</v>
      </c>
      <c r="J244" s="183">
        <f ca="1">SUMIFS(OFFSET('BPC Data'!$F:$F,0,Summary!J$2),'BPC Data'!$E:$E,Summary!$D244,'BPC Data'!$B:$B,Summary!$C244)</f>
        <v>476495</v>
      </c>
      <c r="K244" s="19">
        <f ca="1">SUMIFS(OFFSET('BPC Data'!$F:$F,0,Summary!K$2),'BPC Data'!$E:$E,Summary!$D244,'BPC Data'!$B:$B,Summary!$C244)</f>
        <v>405503</v>
      </c>
      <c r="L244" s="183">
        <f ca="1">SUMIFS(OFFSET('BPC Data'!$F:$F,0,Summary!L$2),'BPC Data'!$E:$E,Summary!$D244,'BPC Data'!$B:$B,Summary!$C244)</f>
        <v>327373</v>
      </c>
      <c r="M244" s="19">
        <f ca="1">SUMIFS(OFFSET('BPC Data'!$F:$F,0,Summary!M$2),'BPC Data'!$E:$E,Summary!$D244,'BPC Data'!$B:$B,Summary!$C244)</f>
        <v>421027</v>
      </c>
      <c r="N244" s="183">
        <f ca="1">SUMIFS(OFFSET('BPC Data'!$F:$F,0,Summary!N$2),'BPC Data'!$E:$E,Summary!$D244,'BPC Data'!$B:$B,Summary!$C244)</f>
        <v>407658</v>
      </c>
      <c r="O244" s="19">
        <f ca="1">SUMIFS(OFFSET('BPC Data'!$F:$F,0,Summary!O$2),'BPC Data'!$E:$E,Summary!$D244,'BPC Data'!$B:$B,Summary!$C244)</f>
        <v>345101</v>
      </c>
      <c r="P244" s="183">
        <f ca="1">SUMIFS(OFFSET('BPC Data'!$F:$F,0,Summary!P$2),'BPC Data'!$E:$E,Summary!$D244,'BPC Data'!$B:$B,Summary!$C244)</f>
        <v>401895</v>
      </c>
      <c r="Q244" s="19">
        <f ca="1">SUMIFS(OFFSET('BPC Data'!$F:$F,0,Summary!Q$2),'BPC Data'!$E:$E,Summary!$D244,'BPC Data'!$B:$B,Summary!$C244)</f>
        <v>385983</v>
      </c>
      <c r="R244" s="183">
        <f ca="1">SUMIFS(OFFSET('BPC Data'!$F:$F,0,Summary!R$2),'BPC Data'!$E:$E,Summary!$D244,'BPC Data'!$B:$B,Summary!$C244)</f>
        <v>398537</v>
      </c>
      <c r="S244" s="187">
        <f t="shared" ca="1" si="78"/>
        <v>4664727</v>
      </c>
      <c r="T244" s="181"/>
    </row>
    <row r="245" spans="1:20" s="17" customFormat="1" outlineLevel="1" x14ac:dyDescent="0.25">
      <c r="A245" s="17">
        <f t="shared" si="91"/>
        <v>22</v>
      </c>
      <c r="B245"/>
      <c r="C245" t="str">
        <f>$F240</f>
        <v>SHC of Galion</v>
      </c>
      <c r="D245" s="3" t="str">
        <f t="shared" si="82"/>
        <v>T_BAD_DEBT - Tenant Bad Debt Expense</v>
      </c>
      <c r="E245"/>
      <c r="F245" s="24" t="str">
        <f>_xll.EVDES(D245)</f>
        <v>Tenant Bad Debt Expense</v>
      </c>
      <c r="G245" s="19">
        <f ca="1">SUMIFS(OFFSET('BPC Data'!$F:$F,0,Summary!G$2),'BPC Data'!$E:$E,Summary!$D245,'BPC Data'!$B:$B,Summary!$C245)</f>
        <v>92868</v>
      </c>
      <c r="H245" s="183">
        <f ca="1">SUMIFS(OFFSET('BPC Data'!$F:$F,0,Summary!H$2),'BPC Data'!$E:$E,Summary!$D245,'BPC Data'!$B:$B,Summary!$C245)</f>
        <v>50939</v>
      </c>
      <c r="I245" s="19">
        <f ca="1">SUMIFS(OFFSET('BPC Data'!$F:$F,0,Summary!I$2),'BPC Data'!$E:$E,Summary!$D245,'BPC Data'!$B:$B,Summary!$C245)</f>
        <v>20000</v>
      </c>
      <c r="J245" s="183">
        <f ca="1">SUMIFS(OFFSET('BPC Data'!$F:$F,0,Summary!J$2),'BPC Data'!$E:$E,Summary!$D245,'BPC Data'!$B:$B,Summary!$C245)</f>
        <v>31018</v>
      </c>
      <c r="K245" s="19">
        <f ca="1">SUMIFS(OFFSET('BPC Data'!$F:$F,0,Summary!K$2),'BPC Data'!$E:$E,Summary!$D245,'BPC Data'!$B:$B,Summary!$C245)</f>
        <v>14150</v>
      </c>
      <c r="L245" s="183">
        <f ca="1">SUMIFS(OFFSET('BPC Data'!$F:$F,0,Summary!L$2),'BPC Data'!$E:$E,Summary!$D245,'BPC Data'!$B:$B,Summary!$C245)</f>
        <v>20000</v>
      </c>
      <c r="M245" s="19">
        <f ca="1">SUMIFS(OFFSET('BPC Data'!$F:$F,0,Summary!M$2),'BPC Data'!$E:$E,Summary!$D245,'BPC Data'!$B:$B,Summary!$C245)</f>
        <v>0</v>
      </c>
      <c r="N245" s="183">
        <f ca="1">SUMIFS(OFFSET('BPC Data'!$F:$F,0,Summary!N$2),'BPC Data'!$E:$E,Summary!$D245,'BPC Data'!$B:$B,Summary!$C245)</f>
        <v>5000</v>
      </c>
      <c r="O245" s="19">
        <f ca="1">SUMIFS(OFFSET('BPC Data'!$F:$F,0,Summary!O$2),'BPC Data'!$E:$E,Summary!$D245,'BPC Data'!$B:$B,Summary!$C245)</f>
        <v>0</v>
      </c>
      <c r="P245" s="183">
        <f ca="1">SUMIFS(OFFSET('BPC Data'!$F:$F,0,Summary!P$2),'BPC Data'!$E:$E,Summary!$D245,'BPC Data'!$B:$B,Summary!$C245)</f>
        <v>0</v>
      </c>
      <c r="Q245" s="19">
        <f ca="1">SUMIFS(OFFSET('BPC Data'!$F:$F,0,Summary!Q$2),'BPC Data'!$E:$E,Summary!$D245,'BPC Data'!$B:$B,Summary!$C245)</f>
        <v>0</v>
      </c>
      <c r="R245" s="183">
        <f ca="1">SUMIFS(OFFSET('BPC Data'!$F:$F,0,Summary!R$2),'BPC Data'!$E:$E,Summary!$D245,'BPC Data'!$B:$B,Summary!$C245)</f>
        <v>0</v>
      </c>
      <c r="S245" s="187">
        <f t="shared" ca="1" si="78"/>
        <v>233975</v>
      </c>
      <c r="T245" s="181"/>
    </row>
    <row r="246" spans="1:20" s="17" customFormat="1" outlineLevel="1" x14ac:dyDescent="0.25">
      <c r="A246" s="17">
        <f t="shared" si="91"/>
        <v>22</v>
      </c>
      <c r="B246"/>
      <c r="C246" t="str">
        <f>$F240</f>
        <v>SHC of Galion</v>
      </c>
      <c r="D246" s="2" t="str">
        <f t="shared" si="82"/>
        <v>T_EBITDARM - EBITDARM</v>
      </c>
      <c r="E246"/>
      <c r="F246" s="24" t="str">
        <f>_xll.EVDES(D246)</f>
        <v>EBITDARM</v>
      </c>
      <c r="G246" s="19">
        <f ca="1">SUMIFS(OFFSET('BPC Data'!$F:$F,0,Summary!G$2),'BPC Data'!$E:$E,Summary!$D246,'BPC Data'!$B:$B,Summary!$C246)</f>
        <v>-8108</v>
      </c>
      <c r="H246" s="183">
        <f ca="1">SUMIFS(OFFSET('BPC Data'!$F:$F,0,Summary!H$2),'BPC Data'!$E:$E,Summary!$D246,'BPC Data'!$B:$B,Summary!$C246)</f>
        <v>195088</v>
      </c>
      <c r="I246" s="19">
        <f ca="1">SUMIFS(OFFSET('BPC Data'!$F:$F,0,Summary!I$2),'BPC Data'!$E:$E,Summary!$D246,'BPC Data'!$B:$B,Summary!$C246)</f>
        <v>130078</v>
      </c>
      <c r="J246" s="183">
        <f ca="1">SUMIFS(OFFSET('BPC Data'!$F:$F,0,Summary!J$2),'BPC Data'!$E:$E,Summary!$D246,'BPC Data'!$B:$B,Summary!$C246)</f>
        <v>-116336</v>
      </c>
      <c r="K246" s="19">
        <f ca="1">SUMIFS(OFFSET('BPC Data'!$F:$F,0,Summary!K$2),'BPC Data'!$E:$E,Summary!$D246,'BPC Data'!$B:$B,Summary!$C246)</f>
        <v>44315</v>
      </c>
      <c r="L246" s="183">
        <f ca="1">SUMIFS(OFFSET('BPC Data'!$F:$F,0,Summary!L$2),'BPC Data'!$E:$E,Summary!$D246,'BPC Data'!$B:$B,Summary!$C246)</f>
        <v>64214</v>
      </c>
      <c r="M246" s="19">
        <f ca="1">SUMIFS(OFFSET('BPC Data'!$F:$F,0,Summary!M$2),'BPC Data'!$E:$E,Summary!$D246,'BPC Data'!$B:$B,Summary!$C246)</f>
        <v>7893</v>
      </c>
      <c r="N246" s="183">
        <f ca="1">SUMIFS(OFFSET('BPC Data'!$F:$F,0,Summary!N$2),'BPC Data'!$E:$E,Summary!$D246,'BPC Data'!$B:$B,Summary!$C246)</f>
        <v>-6191</v>
      </c>
      <c r="O246" s="19">
        <f ca="1">SUMIFS(OFFSET('BPC Data'!$F:$F,0,Summary!O$2),'BPC Data'!$E:$E,Summary!$D246,'BPC Data'!$B:$B,Summary!$C246)</f>
        <v>65820</v>
      </c>
      <c r="P246" s="183">
        <f ca="1">SUMIFS(OFFSET('BPC Data'!$F:$F,0,Summary!P$2),'BPC Data'!$E:$E,Summary!$D246,'BPC Data'!$B:$B,Summary!$C246)</f>
        <v>-5770</v>
      </c>
      <c r="Q246" s="19">
        <f ca="1">SUMIFS(OFFSET('BPC Data'!$F:$F,0,Summary!Q$2),'BPC Data'!$E:$E,Summary!$D246,'BPC Data'!$B:$B,Summary!$C246)</f>
        <v>58410</v>
      </c>
      <c r="R246" s="183">
        <f ca="1">SUMIFS(OFFSET('BPC Data'!$F:$F,0,Summary!R$2),'BPC Data'!$E:$E,Summary!$D246,'BPC Data'!$B:$B,Summary!$C246)</f>
        <v>92223</v>
      </c>
      <c r="S246" s="187">
        <f t="shared" ca="1" si="78"/>
        <v>521636</v>
      </c>
      <c r="T246" s="181"/>
    </row>
    <row r="247" spans="1:20" s="17" customFormat="1" outlineLevel="1" x14ac:dyDescent="0.25">
      <c r="A247" s="17">
        <f t="shared" si="91"/>
        <v>22</v>
      </c>
      <c r="B247"/>
      <c r="C247" t="str">
        <f>$F240</f>
        <v>SHC of Galion</v>
      </c>
      <c r="D247" s="2" t="str">
        <f t="shared" si="82"/>
        <v>T_MGMT_FEE - Tenant Management Fee - Actual</v>
      </c>
      <c r="E247"/>
      <c r="F247" s="24" t="str">
        <f>_xll.EVDES(D247)</f>
        <v>Tenant Management Fee - Actual</v>
      </c>
      <c r="G247" s="19">
        <f ca="1">SUMIFS(OFFSET('BPC Data'!$F:$F,0,Summary!G$2),'BPC Data'!$E:$E,Summary!$D247,'BPC Data'!$B:$B,Summary!$C247)</f>
        <v>22341</v>
      </c>
      <c r="H247" s="183">
        <f ca="1">SUMIFS(OFFSET('BPC Data'!$F:$F,0,Summary!H$2),'BPC Data'!$E:$E,Summary!$D247,'BPC Data'!$B:$B,Summary!$C247)</f>
        <v>29476</v>
      </c>
      <c r="I247" s="19">
        <f ca="1">SUMIFS(OFFSET('BPC Data'!$F:$F,0,Summary!I$2),'BPC Data'!$E:$E,Summary!$D247,'BPC Data'!$B:$B,Summary!$C247)</f>
        <v>19284</v>
      </c>
      <c r="J247" s="183">
        <f ca="1">SUMIFS(OFFSET('BPC Data'!$F:$F,0,Summary!J$2),'BPC Data'!$E:$E,Summary!$D247,'BPC Data'!$B:$B,Summary!$C247)</f>
        <v>18188</v>
      </c>
      <c r="K247" s="19">
        <f ca="1">SUMIFS(OFFSET('BPC Data'!$F:$F,0,Summary!K$2),'BPC Data'!$E:$E,Summary!$D247,'BPC Data'!$B:$B,Summary!$C247)</f>
        <v>22716</v>
      </c>
      <c r="L247" s="183">
        <f ca="1">SUMIFS(OFFSET('BPC Data'!$F:$F,0,Summary!L$2),'BPC Data'!$E:$E,Summary!$D247,'BPC Data'!$B:$B,Summary!$C247)</f>
        <v>19775</v>
      </c>
      <c r="M247" s="19">
        <f ca="1">SUMIFS(OFFSET('BPC Data'!$F:$F,0,Summary!M$2),'BPC Data'!$E:$E,Summary!$D247,'BPC Data'!$B:$B,Summary!$C247)</f>
        <v>21660</v>
      </c>
      <c r="N247" s="183">
        <f ca="1">SUMIFS(OFFSET('BPC Data'!$F:$F,0,Summary!N$2),'BPC Data'!$E:$E,Summary!$D247,'BPC Data'!$B:$B,Summary!$C247)</f>
        <v>20274</v>
      </c>
      <c r="O247" s="19">
        <f ca="1">SUMIFS(OFFSET('BPC Data'!$F:$F,0,Summary!O$2),'BPC Data'!$E:$E,Summary!$D247,'BPC Data'!$B:$B,Summary!$C247)</f>
        <v>20752</v>
      </c>
      <c r="P247" s="183">
        <f ca="1">SUMIFS(OFFSET('BPC Data'!$F:$F,0,Summary!P$2),'BPC Data'!$E:$E,Summary!$D247,'BPC Data'!$B:$B,Summary!$C247)</f>
        <v>20004</v>
      </c>
      <c r="Q247" s="19">
        <f ca="1">SUMIFS(OFFSET('BPC Data'!$F:$F,0,Summary!Q$2),'BPC Data'!$E:$E,Summary!$D247,'BPC Data'!$B:$B,Summary!$C247)</f>
        <v>22442</v>
      </c>
      <c r="R247" s="183">
        <f ca="1">SUMIFS(OFFSET('BPC Data'!$F:$F,0,Summary!R$2),'BPC Data'!$E:$E,Summary!$D247,'BPC Data'!$B:$B,Summary!$C247)</f>
        <v>24783</v>
      </c>
      <c r="S247" s="187">
        <f t="shared" ca="1" si="78"/>
        <v>261695</v>
      </c>
      <c r="T247" s="181"/>
    </row>
    <row r="248" spans="1:20" s="17" customFormat="1" outlineLevel="1" x14ac:dyDescent="0.25">
      <c r="A248" s="17">
        <f t="shared" si="91"/>
        <v>22</v>
      </c>
      <c r="B248"/>
      <c r="C248" t="str">
        <f>$F240</f>
        <v>SHC of Galion</v>
      </c>
      <c r="D248" s="1" t="str">
        <f t="shared" si="82"/>
        <v>T_EBITDAR - EBITDAR</v>
      </c>
      <c r="E248"/>
      <c r="F248" s="24" t="str">
        <f>_xll.EVDES(D248)</f>
        <v>EBITDAR</v>
      </c>
      <c r="G248" s="19">
        <f ca="1">SUMIFS(OFFSET('BPC Data'!$F:$F,0,Summary!G$2),'BPC Data'!$E:$E,Summary!$D248,'BPC Data'!$B:$B,Summary!$C248)</f>
        <v>-30449</v>
      </c>
      <c r="H248" s="183">
        <f ca="1">SUMIFS(OFFSET('BPC Data'!$F:$F,0,Summary!H$2),'BPC Data'!$E:$E,Summary!$D248,'BPC Data'!$B:$B,Summary!$C248)</f>
        <v>165612</v>
      </c>
      <c r="I248" s="19">
        <f ca="1">SUMIFS(OFFSET('BPC Data'!$F:$F,0,Summary!I$2),'BPC Data'!$E:$E,Summary!$D248,'BPC Data'!$B:$B,Summary!$C248)</f>
        <v>110794</v>
      </c>
      <c r="J248" s="183">
        <f ca="1">SUMIFS(OFFSET('BPC Data'!$F:$F,0,Summary!J$2),'BPC Data'!$E:$E,Summary!$D248,'BPC Data'!$B:$B,Summary!$C248)</f>
        <v>-134524</v>
      </c>
      <c r="K248" s="19">
        <f ca="1">SUMIFS(OFFSET('BPC Data'!$F:$F,0,Summary!K$2),'BPC Data'!$E:$E,Summary!$D248,'BPC Data'!$B:$B,Summary!$C248)</f>
        <v>21599</v>
      </c>
      <c r="L248" s="183">
        <f ca="1">SUMIFS(OFFSET('BPC Data'!$F:$F,0,Summary!L$2),'BPC Data'!$E:$E,Summary!$D248,'BPC Data'!$B:$B,Summary!$C248)</f>
        <v>44439</v>
      </c>
      <c r="M248" s="19">
        <f ca="1">SUMIFS(OFFSET('BPC Data'!$F:$F,0,Summary!M$2),'BPC Data'!$E:$E,Summary!$D248,'BPC Data'!$B:$B,Summary!$C248)</f>
        <v>-13767</v>
      </c>
      <c r="N248" s="183">
        <f ca="1">SUMIFS(OFFSET('BPC Data'!$F:$F,0,Summary!N$2),'BPC Data'!$E:$E,Summary!$D248,'BPC Data'!$B:$B,Summary!$C248)</f>
        <v>-26465</v>
      </c>
      <c r="O248" s="19">
        <f ca="1">SUMIFS(OFFSET('BPC Data'!$F:$F,0,Summary!O$2),'BPC Data'!$E:$E,Summary!$D248,'BPC Data'!$B:$B,Summary!$C248)</f>
        <v>45068</v>
      </c>
      <c r="P248" s="183">
        <f ca="1">SUMIFS(OFFSET('BPC Data'!$F:$F,0,Summary!P$2),'BPC Data'!$E:$E,Summary!$D248,'BPC Data'!$B:$B,Summary!$C248)</f>
        <v>-25774</v>
      </c>
      <c r="Q248" s="19">
        <f ca="1">SUMIFS(OFFSET('BPC Data'!$F:$F,0,Summary!Q$2),'BPC Data'!$E:$E,Summary!$D248,'BPC Data'!$B:$B,Summary!$C248)</f>
        <v>35968</v>
      </c>
      <c r="R248" s="183">
        <f ca="1">SUMIFS(OFFSET('BPC Data'!$F:$F,0,Summary!R$2),'BPC Data'!$E:$E,Summary!$D248,'BPC Data'!$B:$B,Summary!$C248)</f>
        <v>67440</v>
      </c>
      <c r="S248" s="187">
        <f t="shared" ca="1" si="78"/>
        <v>259941</v>
      </c>
      <c r="T248" s="181"/>
    </row>
    <row r="249" spans="1:20" s="17" customFormat="1" outlineLevel="1" x14ac:dyDescent="0.25">
      <c r="A249" s="17">
        <f t="shared" si="91"/>
        <v>22</v>
      </c>
      <c r="B249"/>
      <c r="C249" t="str">
        <f>$F240</f>
        <v>SHC of Galion</v>
      </c>
      <c r="D249" s="1" t="str">
        <f t="shared" si="82"/>
        <v>T_RENT_EXP - Tenant Rent Expense</v>
      </c>
      <c r="E249"/>
      <c r="F249" s="24" t="str">
        <f>_xll.EVDES(D249)</f>
        <v>Tenant Rent Expense</v>
      </c>
      <c r="G249" s="19">
        <f ca="1">SUMIFS(OFFSET('BPC Data'!$F:$F,0,Summary!G$2),'BPC Data'!$E:$E,Summary!$D249,'BPC Data'!$B:$B,Summary!$C249)</f>
        <v>44414</v>
      </c>
      <c r="H249" s="183">
        <f ca="1">SUMIFS(OFFSET('BPC Data'!$F:$F,0,Summary!H$2),'BPC Data'!$E:$E,Summary!$D249,'BPC Data'!$B:$B,Summary!$C249)</f>
        <v>44414</v>
      </c>
      <c r="I249" s="19">
        <f ca="1">SUMIFS(OFFSET('BPC Data'!$F:$F,0,Summary!I$2),'BPC Data'!$E:$E,Summary!$D249,'BPC Data'!$B:$B,Summary!$C249)</f>
        <v>44414</v>
      </c>
      <c r="J249" s="183">
        <f ca="1">SUMIFS(OFFSET('BPC Data'!$F:$F,0,Summary!J$2),'BPC Data'!$E:$E,Summary!$D249,'BPC Data'!$B:$B,Summary!$C249)</f>
        <v>45524</v>
      </c>
      <c r="K249" s="19">
        <f ca="1">SUMIFS(OFFSET('BPC Data'!$F:$F,0,Summary!K$2),'BPC Data'!$E:$E,Summary!$D249,'BPC Data'!$B:$B,Summary!$C249)</f>
        <v>45524</v>
      </c>
      <c r="L249" s="183">
        <f ca="1">SUMIFS(OFFSET('BPC Data'!$F:$F,0,Summary!L$2),'BPC Data'!$E:$E,Summary!$D249,'BPC Data'!$B:$B,Summary!$C249)</f>
        <v>45524</v>
      </c>
      <c r="M249" s="19">
        <f ca="1">SUMIFS(OFFSET('BPC Data'!$F:$F,0,Summary!M$2),'BPC Data'!$E:$E,Summary!$D249,'BPC Data'!$B:$B,Summary!$C249)</f>
        <v>45524</v>
      </c>
      <c r="N249" s="183">
        <f ca="1">SUMIFS(OFFSET('BPC Data'!$F:$F,0,Summary!N$2),'BPC Data'!$E:$E,Summary!$D249,'BPC Data'!$B:$B,Summary!$C249)</f>
        <v>45524</v>
      </c>
      <c r="O249" s="19">
        <f ca="1">SUMIFS(OFFSET('BPC Data'!$F:$F,0,Summary!O$2),'BPC Data'!$E:$E,Summary!$D249,'BPC Data'!$B:$B,Summary!$C249)</f>
        <v>45524</v>
      </c>
      <c r="P249" s="183">
        <f ca="1">SUMIFS(OFFSET('BPC Data'!$F:$F,0,Summary!P$2),'BPC Data'!$E:$E,Summary!$D249,'BPC Data'!$B:$B,Summary!$C249)</f>
        <v>45524</v>
      </c>
      <c r="Q249" s="19">
        <f ca="1">SUMIFS(OFFSET('BPC Data'!$F:$F,0,Summary!Q$2),'BPC Data'!$E:$E,Summary!$D249,'BPC Data'!$B:$B,Summary!$C249)</f>
        <v>45524</v>
      </c>
      <c r="R249" s="183">
        <f ca="1">SUMIFS(OFFSET('BPC Data'!$F:$F,0,Summary!R$2),'BPC Data'!$E:$E,Summary!$D249,'BPC Data'!$B:$B,Summary!$C249)</f>
        <v>45524</v>
      </c>
      <c r="S249" s="187">
        <f t="shared" ca="1" si="78"/>
        <v>542958</v>
      </c>
      <c r="T249" s="181"/>
    </row>
    <row r="250" spans="1:20" s="17" customFormat="1" outlineLevel="1" x14ac:dyDescent="0.25">
      <c r="A250" s="17">
        <f t="shared" si="91"/>
        <v>22</v>
      </c>
      <c r="B250"/>
      <c r="C250"/>
      <c r="D250" s="1" t="str">
        <f t="shared" si="82"/>
        <v>x</v>
      </c>
      <c r="E250"/>
      <c r="F250" s="24" t="s">
        <v>0</v>
      </c>
      <c r="G250" s="12">
        <f ca="1">G248/G249</f>
        <v>-0.68557211690007658</v>
      </c>
      <c r="H250" s="184">
        <f t="shared" ref="H250:I250" ca="1" si="92">H248/H249</f>
        <v>3.7288242446075563</v>
      </c>
      <c r="I250" s="12">
        <f t="shared" ca="1" si="92"/>
        <v>2.4945737830413832</v>
      </c>
      <c r="J250" s="184">
        <f t="shared" ref="J250:R250" ca="1" si="93">J248/J249</f>
        <v>-2.9550127405324664</v>
      </c>
      <c r="K250" s="12">
        <f t="shared" ca="1" si="93"/>
        <v>0.47445303576135667</v>
      </c>
      <c r="L250" s="184">
        <f t="shared" ca="1" si="93"/>
        <v>0.97616641771373347</v>
      </c>
      <c r="M250" s="12">
        <f t="shared" ca="1" si="93"/>
        <v>-0.30241191459449962</v>
      </c>
      <c r="N250" s="184">
        <f t="shared" ca="1" si="93"/>
        <v>-0.5813417098673227</v>
      </c>
      <c r="O250" s="12">
        <f t="shared" ca="1" si="93"/>
        <v>0.98998330550918201</v>
      </c>
      <c r="P250" s="184">
        <f t="shared" ca="1" si="93"/>
        <v>-0.56616290308408757</v>
      </c>
      <c r="Q250" s="12">
        <f t="shared" ca="1" si="93"/>
        <v>0.79008874439855903</v>
      </c>
      <c r="R250" s="184">
        <f t="shared" ca="1" si="93"/>
        <v>1.4814163957472981</v>
      </c>
      <c r="S250" s="187">
        <f t="shared" ca="1" si="78"/>
        <v>5.8450045418006153</v>
      </c>
      <c r="T250" s="181"/>
    </row>
    <row r="251" spans="1:20" s="17" customFormat="1" outlineLevel="1" x14ac:dyDescent="0.25">
      <c r="A251" s="17">
        <f>IF(AND(D251&lt;&gt;"",C251=""),A250+1,A250)</f>
        <v>23</v>
      </c>
      <c r="B251" s="5"/>
      <c r="C251" s="5"/>
      <c r="D251" s="5" t="str">
        <f t="shared" si="82"/>
        <v>x</v>
      </c>
      <c r="E251" s="5"/>
      <c r="F251" s="23" t="str">
        <f>INDEX(PropertyList!$D:$D,MATCH(Summary!$A251,PropertyList!$C:$C,0))</f>
        <v>SHC of Roanoke Rapids</v>
      </c>
      <c r="G251" s="11"/>
      <c r="H251" s="182"/>
      <c r="I251" s="11"/>
      <c r="J251" s="182"/>
      <c r="K251" s="11"/>
      <c r="L251" s="182"/>
      <c r="M251" s="11"/>
      <c r="N251" s="182"/>
      <c r="O251" s="11"/>
      <c r="P251" s="182"/>
      <c r="Q251" s="11"/>
      <c r="R251" s="182"/>
      <c r="S251" s="187">
        <f t="shared" si="78"/>
        <v>0</v>
      </c>
      <c r="T251" s="181"/>
    </row>
    <row r="252" spans="1:20" s="17" customFormat="1" outlineLevel="1" x14ac:dyDescent="0.25">
      <c r="A252" s="17">
        <f>IF(AND(F252&lt;&gt;"",D252=""),A251+1,A251)</f>
        <v>23</v>
      </c>
      <c r="C252" t="str">
        <f>$F251</f>
        <v>SHC of Roanoke Rapids</v>
      </c>
      <c r="D252" s="3" t="str">
        <f t="shared" si="82"/>
        <v>PAY_PAT_DAYS - Total Payor Patient Days</v>
      </c>
      <c r="F252" s="24" t="str">
        <f>_xll.EVDES(D252)</f>
        <v>Total Payor Patient Days</v>
      </c>
      <c r="G252" s="19">
        <f ca="1">SUMIFS(OFFSET('BPC Data'!$F:$F,0,Summary!G$2),'BPC Data'!$E:$E,Summary!$D252,'BPC Data'!$B:$B,Summary!$C252)</f>
        <v>2398</v>
      </c>
      <c r="H252" s="183">
        <f ca="1">SUMIFS(OFFSET('BPC Data'!$F:$F,0,Summary!H$2),'BPC Data'!$E:$E,Summary!$D252,'BPC Data'!$B:$B,Summary!$C252)</f>
        <v>2647</v>
      </c>
      <c r="I252" s="19">
        <f ca="1">SUMIFS(OFFSET('BPC Data'!$F:$F,0,Summary!I$2),'BPC Data'!$E:$E,Summary!$D252,'BPC Data'!$B:$B,Summary!$C252)</f>
        <v>2669</v>
      </c>
      <c r="J252" s="183">
        <f ca="1">SUMIFS(OFFSET('BPC Data'!$F:$F,0,Summary!J$2),'BPC Data'!$E:$E,Summary!$D252,'BPC Data'!$B:$B,Summary!$C252)</f>
        <v>2608</v>
      </c>
      <c r="K252" s="19">
        <f ca="1">SUMIFS(OFFSET('BPC Data'!$F:$F,0,Summary!K$2),'BPC Data'!$E:$E,Summary!$D252,'BPC Data'!$B:$B,Summary!$C252)</f>
        <v>2590</v>
      </c>
      <c r="L252" s="183">
        <f ca="1">SUMIFS(OFFSET('BPC Data'!$F:$F,0,Summary!L$2),'BPC Data'!$E:$E,Summary!$D252,'BPC Data'!$B:$B,Summary!$C252)</f>
        <v>2202</v>
      </c>
      <c r="M252" s="19">
        <f ca="1">SUMIFS(OFFSET('BPC Data'!$F:$F,0,Summary!M$2),'BPC Data'!$E:$E,Summary!$D252,'BPC Data'!$B:$B,Summary!$C252)</f>
        <v>2396</v>
      </c>
      <c r="N252" s="183">
        <f ca="1">SUMIFS(OFFSET('BPC Data'!$F:$F,0,Summary!N$2),'BPC Data'!$E:$E,Summary!$D252,'BPC Data'!$B:$B,Summary!$C252)</f>
        <v>2235</v>
      </c>
      <c r="O252" s="19">
        <f ca="1">SUMIFS(OFFSET('BPC Data'!$F:$F,0,Summary!O$2),'BPC Data'!$E:$E,Summary!$D252,'BPC Data'!$B:$B,Summary!$C252)</f>
        <v>2461</v>
      </c>
      <c r="P252" s="183">
        <f ca="1">SUMIFS(OFFSET('BPC Data'!$F:$F,0,Summary!P$2),'BPC Data'!$E:$E,Summary!$D252,'BPC Data'!$B:$B,Summary!$C252)</f>
        <v>2232</v>
      </c>
      <c r="Q252" s="19">
        <f ca="1">SUMIFS(OFFSET('BPC Data'!$F:$F,0,Summary!Q$2),'BPC Data'!$E:$E,Summary!$D252,'BPC Data'!$B:$B,Summary!$C252)</f>
        <v>2318</v>
      </c>
      <c r="R252" s="183">
        <f ca="1">SUMIFS(OFFSET('BPC Data'!$F:$F,0,Summary!R$2),'BPC Data'!$E:$E,Summary!$D252,'BPC Data'!$B:$B,Summary!$C252)</f>
        <v>2097</v>
      </c>
      <c r="S252" s="187">
        <f t="shared" ca="1" si="78"/>
        <v>28853</v>
      </c>
      <c r="T252" s="181"/>
    </row>
    <row r="253" spans="1:20" s="17" customFormat="1" outlineLevel="1" x14ac:dyDescent="0.25">
      <c r="A253" s="17">
        <f t="shared" ref="A253:A261" si="94">IF(AND(F253&lt;&gt;"",D253=""),A252+1,A252)</f>
        <v>23</v>
      </c>
      <c r="C253" t="str">
        <f>$F251</f>
        <v>SHC of Roanoke Rapids</v>
      </c>
      <c r="D253" s="3" t="str">
        <f t="shared" si="82"/>
        <v>A_BEDS_TOTAL - Total Available Beds</v>
      </c>
      <c r="F253" s="24" t="str">
        <f>_xll.EVDES(D253)</f>
        <v>Total Available Beds</v>
      </c>
      <c r="G253" s="19">
        <f ca="1">SUMIFS(OFFSET('BPC Data'!$F:$F,0,Summary!G$2),'BPC Data'!$E:$E,Summary!$D253,'BPC Data'!$B:$B,Summary!$C253)</f>
        <v>108</v>
      </c>
      <c r="H253" s="183">
        <f ca="1">SUMIFS(OFFSET('BPC Data'!$F:$F,0,Summary!H$2),'BPC Data'!$E:$E,Summary!$D253,'BPC Data'!$B:$B,Summary!$C253)</f>
        <v>108</v>
      </c>
      <c r="I253" s="19">
        <f ca="1">SUMIFS(OFFSET('BPC Data'!$F:$F,0,Summary!I$2),'BPC Data'!$E:$E,Summary!$D253,'BPC Data'!$B:$B,Summary!$C253)</f>
        <v>108</v>
      </c>
      <c r="J253" s="183">
        <f ca="1">SUMIFS(OFFSET('BPC Data'!$F:$F,0,Summary!J$2),'BPC Data'!$E:$E,Summary!$D253,'BPC Data'!$B:$B,Summary!$C253)</f>
        <v>108</v>
      </c>
      <c r="K253" s="19">
        <f ca="1">SUMIFS(OFFSET('BPC Data'!$F:$F,0,Summary!K$2),'BPC Data'!$E:$E,Summary!$D253,'BPC Data'!$B:$B,Summary!$C253)</f>
        <v>108</v>
      </c>
      <c r="L253" s="183">
        <f ca="1">SUMIFS(OFFSET('BPC Data'!$F:$F,0,Summary!L$2),'BPC Data'!$E:$E,Summary!$D253,'BPC Data'!$B:$B,Summary!$C253)</f>
        <v>108</v>
      </c>
      <c r="M253" s="19">
        <f ca="1">SUMIFS(OFFSET('BPC Data'!$F:$F,0,Summary!M$2),'BPC Data'!$E:$E,Summary!$D253,'BPC Data'!$B:$B,Summary!$C253)</f>
        <v>108</v>
      </c>
      <c r="N253" s="183">
        <f ca="1">SUMIFS(OFFSET('BPC Data'!$F:$F,0,Summary!N$2),'BPC Data'!$E:$E,Summary!$D253,'BPC Data'!$B:$B,Summary!$C253)</f>
        <v>108</v>
      </c>
      <c r="O253" s="19">
        <f ca="1">SUMIFS(OFFSET('BPC Data'!$F:$F,0,Summary!O$2),'BPC Data'!$E:$E,Summary!$D253,'BPC Data'!$B:$B,Summary!$C253)</f>
        <v>108</v>
      </c>
      <c r="P253" s="183">
        <f ca="1">SUMIFS(OFFSET('BPC Data'!$F:$F,0,Summary!P$2),'BPC Data'!$E:$E,Summary!$D253,'BPC Data'!$B:$B,Summary!$C253)</f>
        <v>108</v>
      </c>
      <c r="Q253" s="19">
        <f ca="1">SUMIFS(OFFSET('BPC Data'!$F:$F,0,Summary!Q$2),'BPC Data'!$E:$E,Summary!$D253,'BPC Data'!$B:$B,Summary!$C253)</f>
        <v>108</v>
      </c>
      <c r="R253" s="183">
        <f ca="1">SUMIFS(OFFSET('BPC Data'!$F:$F,0,Summary!R$2),'BPC Data'!$E:$E,Summary!$D253,'BPC Data'!$B:$B,Summary!$C253)</f>
        <v>108</v>
      </c>
      <c r="S253" s="187">
        <f ca="1">R253</f>
        <v>108</v>
      </c>
      <c r="T253" s="181"/>
    </row>
    <row r="254" spans="1:20" s="17" customFormat="1" outlineLevel="1" x14ac:dyDescent="0.25">
      <c r="A254" s="17">
        <f t="shared" si="94"/>
        <v>23</v>
      </c>
      <c r="B254"/>
      <c r="C254" t="str">
        <f>$F251</f>
        <v>SHC of Roanoke Rapids</v>
      </c>
      <c r="D254" s="3" t="str">
        <f t="shared" si="82"/>
        <v>T_REVENUES - Total Tenant Revenues</v>
      </c>
      <c r="E254"/>
      <c r="F254" s="24" t="str">
        <f>_xll.EVDES(D254)</f>
        <v>Total Tenant Revenues</v>
      </c>
      <c r="G254" s="19">
        <f ca="1">SUMIFS(OFFSET('BPC Data'!$F:$F,0,Summary!G$2),'BPC Data'!$E:$E,Summary!$D254,'BPC Data'!$B:$B,Summary!$C254)</f>
        <v>1265069</v>
      </c>
      <c r="H254" s="183">
        <f ca="1">SUMIFS(OFFSET('BPC Data'!$F:$F,0,Summary!H$2),'BPC Data'!$E:$E,Summary!$D254,'BPC Data'!$B:$B,Summary!$C254)</f>
        <v>1017224</v>
      </c>
      <c r="I254" s="19">
        <f ca="1">SUMIFS(OFFSET('BPC Data'!$F:$F,0,Summary!I$2),'BPC Data'!$E:$E,Summary!$D254,'BPC Data'!$B:$B,Summary!$C254)</f>
        <v>976137</v>
      </c>
      <c r="J254" s="183">
        <f ca="1">SUMIFS(OFFSET('BPC Data'!$F:$F,0,Summary!J$2),'BPC Data'!$E:$E,Summary!$D254,'BPC Data'!$B:$B,Summary!$C254)</f>
        <v>805106</v>
      </c>
      <c r="K254" s="19">
        <f ca="1">SUMIFS(OFFSET('BPC Data'!$F:$F,0,Summary!K$2),'BPC Data'!$E:$E,Summary!$D254,'BPC Data'!$B:$B,Summary!$C254)</f>
        <v>972414</v>
      </c>
      <c r="L254" s="183">
        <f ca="1">SUMIFS(OFFSET('BPC Data'!$F:$F,0,Summary!L$2),'BPC Data'!$E:$E,Summary!$D254,'BPC Data'!$B:$B,Summary!$C254)</f>
        <v>813373</v>
      </c>
      <c r="M254" s="19">
        <f ca="1">SUMIFS(OFFSET('BPC Data'!$F:$F,0,Summary!M$2),'BPC Data'!$E:$E,Summary!$D254,'BPC Data'!$B:$B,Summary!$C254)</f>
        <v>822564</v>
      </c>
      <c r="N254" s="183">
        <f ca="1">SUMIFS(OFFSET('BPC Data'!$F:$F,0,Summary!N$2),'BPC Data'!$E:$E,Summary!$D254,'BPC Data'!$B:$B,Summary!$C254)</f>
        <v>661422</v>
      </c>
      <c r="O254" s="19">
        <f ca="1">SUMIFS(OFFSET('BPC Data'!$F:$F,0,Summary!O$2),'BPC Data'!$E:$E,Summary!$D254,'BPC Data'!$B:$B,Summary!$C254)</f>
        <v>867600</v>
      </c>
      <c r="P254" s="183">
        <f ca="1">SUMIFS(OFFSET('BPC Data'!$F:$F,0,Summary!P$2),'BPC Data'!$E:$E,Summary!$D254,'BPC Data'!$B:$B,Summary!$C254)</f>
        <v>926514</v>
      </c>
      <c r="Q254" s="19">
        <f ca="1">SUMIFS(OFFSET('BPC Data'!$F:$F,0,Summary!Q$2),'BPC Data'!$E:$E,Summary!$D254,'BPC Data'!$B:$B,Summary!$C254)</f>
        <v>737545</v>
      </c>
      <c r="R254" s="183">
        <f ca="1">SUMIFS(OFFSET('BPC Data'!$F:$F,0,Summary!R$2),'BPC Data'!$E:$E,Summary!$D254,'BPC Data'!$B:$B,Summary!$C254)</f>
        <v>772302</v>
      </c>
      <c r="S254" s="187">
        <f t="shared" ca="1" si="78"/>
        <v>10637270</v>
      </c>
      <c r="T254" s="181"/>
    </row>
    <row r="255" spans="1:20" s="17" customFormat="1" outlineLevel="1" x14ac:dyDescent="0.25">
      <c r="A255" s="17">
        <f t="shared" si="94"/>
        <v>23</v>
      </c>
      <c r="B255"/>
      <c r="C255" t="str">
        <f>$F251</f>
        <v>SHC of Roanoke Rapids</v>
      </c>
      <c r="D255" s="3" t="str">
        <f t="shared" si="82"/>
        <v>T_OPEX - Tenant Operating Expenses</v>
      </c>
      <c r="E255"/>
      <c r="F255" s="24" t="str">
        <f>_xll.EVDES(D255)</f>
        <v>Tenant Operating Expenses</v>
      </c>
      <c r="G255" s="19">
        <f ca="1">SUMIFS(OFFSET('BPC Data'!$F:$F,0,Summary!G$2),'BPC Data'!$E:$E,Summary!$D255,'BPC Data'!$B:$B,Summary!$C255)</f>
        <v>761997</v>
      </c>
      <c r="H255" s="183">
        <f ca="1">SUMIFS(OFFSET('BPC Data'!$F:$F,0,Summary!H$2),'BPC Data'!$E:$E,Summary!$D255,'BPC Data'!$B:$B,Summary!$C255)</f>
        <v>754211</v>
      </c>
      <c r="I255" s="19">
        <f ca="1">SUMIFS(OFFSET('BPC Data'!$F:$F,0,Summary!I$2),'BPC Data'!$E:$E,Summary!$D255,'BPC Data'!$B:$B,Summary!$C255)</f>
        <v>710589</v>
      </c>
      <c r="J255" s="183">
        <f ca="1">SUMIFS(OFFSET('BPC Data'!$F:$F,0,Summary!J$2),'BPC Data'!$E:$E,Summary!$D255,'BPC Data'!$B:$B,Summary!$C255)</f>
        <v>979059</v>
      </c>
      <c r="K255" s="19">
        <f ca="1">SUMIFS(OFFSET('BPC Data'!$F:$F,0,Summary!K$2),'BPC Data'!$E:$E,Summary!$D255,'BPC Data'!$B:$B,Summary!$C255)</f>
        <v>708860</v>
      </c>
      <c r="L255" s="183">
        <f ca="1">SUMIFS(OFFSET('BPC Data'!$F:$F,0,Summary!L$2),'BPC Data'!$E:$E,Summary!$D255,'BPC Data'!$B:$B,Summary!$C255)</f>
        <v>635526</v>
      </c>
      <c r="M255" s="19">
        <f ca="1">SUMIFS(OFFSET('BPC Data'!$F:$F,0,Summary!M$2),'BPC Data'!$E:$E,Summary!$D255,'BPC Data'!$B:$B,Summary!$C255)</f>
        <v>837993</v>
      </c>
      <c r="N255" s="183">
        <f ca="1">SUMIFS(OFFSET('BPC Data'!$F:$F,0,Summary!N$2),'BPC Data'!$E:$E,Summary!$D255,'BPC Data'!$B:$B,Summary!$C255)</f>
        <v>657111</v>
      </c>
      <c r="O255" s="19">
        <f ca="1">SUMIFS(OFFSET('BPC Data'!$F:$F,0,Summary!O$2),'BPC Data'!$E:$E,Summary!$D255,'BPC Data'!$B:$B,Summary!$C255)</f>
        <v>681990</v>
      </c>
      <c r="P255" s="183">
        <f ca="1">SUMIFS(OFFSET('BPC Data'!$F:$F,0,Summary!P$2),'BPC Data'!$E:$E,Summary!$D255,'BPC Data'!$B:$B,Summary!$C255)</f>
        <v>609666</v>
      </c>
      <c r="Q255" s="19">
        <f ca="1">SUMIFS(OFFSET('BPC Data'!$F:$F,0,Summary!Q$2),'BPC Data'!$E:$E,Summary!$D255,'BPC Data'!$B:$B,Summary!$C255)</f>
        <v>770914</v>
      </c>
      <c r="R255" s="183">
        <f ca="1">SUMIFS(OFFSET('BPC Data'!$F:$F,0,Summary!R$2),'BPC Data'!$E:$E,Summary!$D255,'BPC Data'!$B:$B,Summary!$C255)</f>
        <v>670449</v>
      </c>
      <c r="S255" s="187">
        <f t="shared" ca="1" si="78"/>
        <v>8778365</v>
      </c>
      <c r="T255" s="181"/>
    </row>
    <row r="256" spans="1:20" s="17" customFormat="1" outlineLevel="1" x14ac:dyDescent="0.25">
      <c r="A256" s="17">
        <f t="shared" si="94"/>
        <v>23</v>
      </c>
      <c r="B256"/>
      <c r="C256" t="str">
        <f>$F251</f>
        <v>SHC of Roanoke Rapids</v>
      </c>
      <c r="D256" s="3" t="str">
        <f t="shared" si="82"/>
        <v>T_BAD_DEBT - Tenant Bad Debt Expense</v>
      </c>
      <c r="E256"/>
      <c r="F256" s="24" t="str">
        <f>_xll.EVDES(D256)</f>
        <v>Tenant Bad Debt Expense</v>
      </c>
      <c r="G256" s="19">
        <f ca="1">SUMIFS(OFFSET('BPC Data'!$F:$F,0,Summary!G$2),'BPC Data'!$E:$E,Summary!$D256,'BPC Data'!$B:$B,Summary!$C256)</f>
        <v>84248</v>
      </c>
      <c r="H256" s="183">
        <f ca="1">SUMIFS(OFFSET('BPC Data'!$F:$F,0,Summary!H$2),'BPC Data'!$E:$E,Summary!$D256,'BPC Data'!$B:$B,Summary!$C256)</f>
        <v>66293</v>
      </c>
      <c r="I256" s="19">
        <f ca="1">SUMIFS(OFFSET('BPC Data'!$F:$F,0,Summary!I$2),'BPC Data'!$E:$E,Summary!$D256,'BPC Data'!$B:$B,Summary!$C256)</f>
        <v>50000</v>
      </c>
      <c r="J256" s="183">
        <f ca="1">SUMIFS(OFFSET('BPC Data'!$F:$F,0,Summary!J$2),'BPC Data'!$E:$E,Summary!$D256,'BPC Data'!$B:$B,Summary!$C256)</f>
        <v>85135</v>
      </c>
      <c r="K256" s="19">
        <f ca="1">SUMIFS(OFFSET('BPC Data'!$F:$F,0,Summary!K$2),'BPC Data'!$E:$E,Summary!$D256,'BPC Data'!$B:$B,Summary!$C256)</f>
        <v>18708</v>
      </c>
      <c r="L256" s="183">
        <f ca="1">SUMIFS(OFFSET('BPC Data'!$F:$F,0,Summary!L$2),'BPC Data'!$E:$E,Summary!$D256,'BPC Data'!$B:$B,Summary!$C256)</f>
        <v>22000</v>
      </c>
      <c r="M256" s="19">
        <f ca="1">SUMIFS(OFFSET('BPC Data'!$F:$F,0,Summary!M$2),'BPC Data'!$E:$E,Summary!$D256,'BPC Data'!$B:$B,Summary!$C256)</f>
        <v>0</v>
      </c>
      <c r="N256" s="183">
        <f ca="1">SUMIFS(OFFSET('BPC Data'!$F:$F,0,Summary!N$2),'BPC Data'!$E:$E,Summary!$D256,'BPC Data'!$B:$B,Summary!$C256)</f>
        <v>55534</v>
      </c>
      <c r="O256" s="19">
        <f ca="1">SUMIFS(OFFSET('BPC Data'!$F:$F,0,Summary!O$2),'BPC Data'!$E:$E,Summary!$D256,'BPC Data'!$B:$B,Summary!$C256)</f>
        <v>15000</v>
      </c>
      <c r="P256" s="183">
        <f ca="1">SUMIFS(OFFSET('BPC Data'!$F:$F,0,Summary!P$2),'BPC Data'!$E:$E,Summary!$D256,'BPC Data'!$B:$B,Summary!$C256)</f>
        <v>20000</v>
      </c>
      <c r="Q256" s="19">
        <f ca="1">SUMIFS(OFFSET('BPC Data'!$F:$F,0,Summary!Q$2),'BPC Data'!$E:$E,Summary!$D256,'BPC Data'!$B:$B,Summary!$C256)</f>
        <v>20000</v>
      </c>
      <c r="R256" s="183">
        <f ca="1">SUMIFS(OFFSET('BPC Data'!$F:$F,0,Summary!R$2),'BPC Data'!$E:$E,Summary!$D256,'BPC Data'!$B:$B,Summary!$C256)</f>
        <v>20000</v>
      </c>
      <c r="S256" s="187">
        <f t="shared" ca="1" si="78"/>
        <v>456918</v>
      </c>
      <c r="T256" s="181"/>
    </row>
    <row r="257" spans="1:20" s="17" customFormat="1" outlineLevel="1" x14ac:dyDescent="0.25">
      <c r="A257" s="17">
        <f t="shared" si="94"/>
        <v>23</v>
      </c>
      <c r="B257"/>
      <c r="C257" t="str">
        <f>$F251</f>
        <v>SHC of Roanoke Rapids</v>
      </c>
      <c r="D257" s="2" t="str">
        <f t="shared" si="82"/>
        <v>T_EBITDARM - EBITDARM</v>
      </c>
      <c r="E257"/>
      <c r="F257" s="24" t="str">
        <f>_xll.EVDES(D257)</f>
        <v>EBITDARM</v>
      </c>
      <c r="G257" s="19">
        <f ca="1">SUMIFS(OFFSET('BPC Data'!$F:$F,0,Summary!G$2),'BPC Data'!$E:$E,Summary!$D257,'BPC Data'!$B:$B,Summary!$C257)</f>
        <v>503072</v>
      </c>
      <c r="H257" s="183">
        <f ca="1">SUMIFS(OFFSET('BPC Data'!$F:$F,0,Summary!H$2),'BPC Data'!$E:$E,Summary!$D257,'BPC Data'!$B:$B,Summary!$C257)</f>
        <v>263013</v>
      </c>
      <c r="I257" s="19">
        <f ca="1">SUMIFS(OFFSET('BPC Data'!$F:$F,0,Summary!I$2),'BPC Data'!$E:$E,Summary!$D257,'BPC Data'!$B:$B,Summary!$C257)</f>
        <v>265548</v>
      </c>
      <c r="J257" s="183">
        <f ca="1">SUMIFS(OFFSET('BPC Data'!$F:$F,0,Summary!J$2),'BPC Data'!$E:$E,Summary!$D257,'BPC Data'!$B:$B,Summary!$C257)</f>
        <v>-173953</v>
      </c>
      <c r="K257" s="19">
        <f ca="1">SUMIFS(OFFSET('BPC Data'!$F:$F,0,Summary!K$2),'BPC Data'!$E:$E,Summary!$D257,'BPC Data'!$B:$B,Summary!$C257)</f>
        <v>263554</v>
      </c>
      <c r="L257" s="183">
        <f ca="1">SUMIFS(OFFSET('BPC Data'!$F:$F,0,Summary!L$2),'BPC Data'!$E:$E,Summary!$D257,'BPC Data'!$B:$B,Summary!$C257)</f>
        <v>177847</v>
      </c>
      <c r="M257" s="19">
        <f ca="1">SUMIFS(OFFSET('BPC Data'!$F:$F,0,Summary!M$2),'BPC Data'!$E:$E,Summary!$D257,'BPC Data'!$B:$B,Summary!$C257)</f>
        <v>-15429</v>
      </c>
      <c r="N257" s="183">
        <f ca="1">SUMIFS(OFFSET('BPC Data'!$F:$F,0,Summary!N$2),'BPC Data'!$E:$E,Summary!$D257,'BPC Data'!$B:$B,Summary!$C257)</f>
        <v>4311</v>
      </c>
      <c r="O257" s="19">
        <f ca="1">SUMIFS(OFFSET('BPC Data'!$F:$F,0,Summary!O$2),'BPC Data'!$E:$E,Summary!$D257,'BPC Data'!$B:$B,Summary!$C257)</f>
        <v>185610</v>
      </c>
      <c r="P257" s="183">
        <f ca="1">SUMIFS(OFFSET('BPC Data'!$F:$F,0,Summary!P$2),'BPC Data'!$E:$E,Summary!$D257,'BPC Data'!$B:$B,Summary!$C257)</f>
        <v>316848</v>
      </c>
      <c r="Q257" s="19">
        <f ca="1">SUMIFS(OFFSET('BPC Data'!$F:$F,0,Summary!Q$2),'BPC Data'!$E:$E,Summary!$D257,'BPC Data'!$B:$B,Summary!$C257)</f>
        <v>-33369</v>
      </c>
      <c r="R257" s="183">
        <f ca="1">SUMIFS(OFFSET('BPC Data'!$F:$F,0,Summary!R$2),'BPC Data'!$E:$E,Summary!$D257,'BPC Data'!$B:$B,Summary!$C257)</f>
        <v>101853</v>
      </c>
      <c r="S257" s="187">
        <f t="shared" ca="1" si="78"/>
        <v>1858905</v>
      </c>
      <c r="T257" s="181"/>
    </row>
    <row r="258" spans="1:20" s="17" customFormat="1" outlineLevel="1" x14ac:dyDescent="0.25">
      <c r="A258" s="17">
        <f t="shared" si="94"/>
        <v>23</v>
      </c>
      <c r="B258"/>
      <c r="C258" t="str">
        <f>$F251</f>
        <v>SHC of Roanoke Rapids</v>
      </c>
      <c r="D258" s="2" t="str">
        <f t="shared" si="82"/>
        <v>T_MGMT_FEE - Tenant Management Fee - Actual</v>
      </c>
      <c r="E258"/>
      <c r="F258" s="24" t="str">
        <f>_xll.EVDES(D258)</f>
        <v>Tenant Management Fee - Actual</v>
      </c>
      <c r="G258" s="19">
        <f ca="1">SUMIFS(OFFSET('BPC Data'!$F:$F,0,Summary!G$2),'BPC Data'!$E:$E,Summary!$D258,'BPC Data'!$B:$B,Summary!$C258)</f>
        <v>63727</v>
      </c>
      <c r="H258" s="183">
        <f ca="1">SUMIFS(OFFSET('BPC Data'!$F:$F,0,Summary!H$2),'BPC Data'!$E:$E,Summary!$D258,'BPC Data'!$B:$B,Summary!$C258)</f>
        <v>51370</v>
      </c>
      <c r="I258" s="19">
        <f ca="1">SUMIFS(OFFSET('BPC Data'!$F:$F,0,Summary!I$2),'BPC Data'!$E:$E,Summary!$D258,'BPC Data'!$B:$B,Summary!$C258)</f>
        <v>49295</v>
      </c>
      <c r="J258" s="183">
        <f ca="1">SUMIFS(OFFSET('BPC Data'!$F:$F,0,Summary!J$2),'BPC Data'!$E:$E,Summary!$D258,'BPC Data'!$B:$B,Summary!$C258)</f>
        <v>40658</v>
      </c>
      <c r="K258" s="19">
        <f ca="1">SUMIFS(OFFSET('BPC Data'!$F:$F,0,Summary!K$2),'BPC Data'!$E:$E,Summary!$D258,'BPC Data'!$B:$B,Summary!$C258)</f>
        <v>49107</v>
      </c>
      <c r="L258" s="183">
        <f ca="1">SUMIFS(OFFSET('BPC Data'!$F:$F,0,Summary!L$2),'BPC Data'!$E:$E,Summary!$D258,'BPC Data'!$B:$B,Summary!$C258)</f>
        <v>41075</v>
      </c>
      <c r="M258" s="19">
        <f ca="1">SUMIFS(OFFSET('BPC Data'!$F:$F,0,Summary!M$2),'BPC Data'!$E:$E,Summary!$D258,'BPC Data'!$B:$B,Summary!$C258)</f>
        <v>41540</v>
      </c>
      <c r="N258" s="183">
        <f ca="1">SUMIFS(OFFSET('BPC Data'!$F:$F,0,Summary!N$2),'BPC Data'!$E:$E,Summary!$D258,'BPC Data'!$B:$B,Summary!$C258)</f>
        <v>33402</v>
      </c>
      <c r="O258" s="19">
        <f ca="1">SUMIFS(OFFSET('BPC Data'!$F:$F,0,Summary!O$2),'BPC Data'!$E:$E,Summary!$D258,'BPC Data'!$B:$B,Summary!$C258)</f>
        <v>43814</v>
      </c>
      <c r="P258" s="183">
        <f ca="1">SUMIFS(OFFSET('BPC Data'!$F:$F,0,Summary!P$2),'BPC Data'!$E:$E,Summary!$D258,'BPC Data'!$B:$B,Summary!$C258)</f>
        <v>46789</v>
      </c>
      <c r="Q258" s="19">
        <f ca="1">SUMIFS(OFFSET('BPC Data'!$F:$F,0,Summary!Q$2),'BPC Data'!$E:$E,Summary!$D258,'BPC Data'!$B:$B,Summary!$C258)</f>
        <v>37246</v>
      </c>
      <c r="R258" s="183">
        <f ca="1">SUMIFS(OFFSET('BPC Data'!$F:$F,0,Summary!R$2),'BPC Data'!$E:$E,Summary!$D258,'BPC Data'!$B:$B,Summary!$C258)</f>
        <v>39001</v>
      </c>
      <c r="S258" s="187">
        <f t="shared" ca="1" si="78"/>
        <v>537024</v>
      </c>
      <c r="T258" s="181"/>
    </row>
    <row r="259" spans="1:20" s="17" customFormat="1" outlineLevel="1" x14ac:dyDescent="0.25">
      <c r="A259" s="17">
        <f t="shared" si="94"/>
        <v>23</v>
      </c>
      <c r="B259"/>
      <c r="C259" t="str">
        <f>$F251</f>
        <v>SHC of Roanoke Rapids</v>
      </c>
      <c r="D259" s="1" t="str">
        <f t="shared" si="82"/>
        <v>T_EBITDAR - EBITDAR</v>
      </c>
      <c r="E259"/>
      <c r="F259" s="24" t="str">
        <f>_xll.EVDES(D259)</f>
        <v>EBITDAR</v>
      </c>
      <c r="G259" s="19">
        <f ca="1">SUMIFS(OFFSET('BPC Data'!$F:$F,0,Summary!G$2),'BPC Data'!$E:$E,Summary!$D259,'BPC Data'!$B:$B,Summary!$C259)</f>
        <v>439345</v>
      </c>
      <c r="H259" s="183">
        <f ca="1">SUMIFS(OFFSET('BPC Data'!$F:$F,0,Summary!H$2),'BPC Data'!$E:$E,Summary!$D259,'BPC Data'!$B:$B,Summary!$C259)</f>
        <v>211643</v>
      </c>
      <c r="I259" s="19">
        <f ca="1">SUMIFS(OFFSET('BPC Data'!$F:$F,0,Summary!I$2),'BPC Data'!$E:$E,Summary!$D259,'BPC Data'!$B:$B,Summary!$C259)</f>
        <v>216253</v>
      </c>
      <c r="J259" s="183">
        <f ca="1">SUMIFS(OFFSET('BPC Data'!$F:$F,0,Summary!J$2),'BPC Data'!$E:$E,Summary!$D259,'BPC Data'!$B:$B,Summary!$C259)</f>
        <v>-214611</v>
      </c>
      <c r="K259" s="19">
        <f ca="1">SUMIFS(OFFSET('BPC Data'!$F:$F,0,Summary!K$2),'BPC Data'!$E:$E,Summary!$D259,'BPC Data'!$B:$B,Summary!$C259)</f>
        <v>214447</v>
      </c>
      <c r="L259" s="183">
        <f ca="1">SUMIFS(OFFSET('BPC Data'!$F:$F,0,Summary!L$2),'BPC Data'!$E:$E,Summary!$D259,'BPC Data'!$B:$B,Summary!$C259)</f>
        <v>136772</v>
      </c>
      <c r="M259" s="19">
        <f ca="1">SUMIFS(OFFSET('BPC Data'!$F:$F,0,Summary!M$2),'BPC Data'!$E:$E,Summary!$D259,'BPC Data'!$B:$B,Summary!$C259)</f>
        <v>-56969</v>
      </c>
      <c r="N259" s="183">
        <f ca="1">SUMIFS(OFFSET('BPC Data'!$F:$F,0,Summary!N$2),'BPC Data'!$E:$E,Summary!$D259,'BPC Data'!$B:$B,Summary!$C259)</f>
        <v>-29091</v>
      </c>
      <c r="O259" s="19">
        <f ca="1">SUMIFS(OFFSET('BPC Data'!$F:$F,0,Summary!O$2),'BPC Data'!$E:$E,Summary!$D259,'BPC Data'!$B:$B,Summary!$C259)</f>
        <v>141796</v>
      </c>
      <c r="P259" s="183">
        <f ca="1">SUMIFS(OFFSET('BPC Data'!$F:$F,0,Summary!P$2),'BPC Data'!$E:$E,Summary!$D259,'BPC Data'!$B:$B,Summary!$C259)</f>
        <v>270059</v>
      </c>
      <c r="Q259" s="19">
        <f ca="1">SUMIFS(OFFSET('BPC Data'!$F:$F,0,Summary!Q$2),'BPC Data'!$E:$E,Summary!$D259,'BPC Data'!$B:$B,Summary!$C259)</f>
        <v>-70615</v>
      </c>
      <c r="R259" s="183">
        <f ca="1">SUMIFS(OFFSET('BPC Data'!$F:$F,0,Summary!R$2),'BPC Data'!$E:$E,Summary!$D259,'BPC Data'!$B:$B,Summary!$C259)</f>
        <v>62852</v>
      </c>
      <c r="S259" s="187">
        <f t="shared" ca="1" si="78"/>
        <v>1321881</v>
      </c>
      <c r="T259" s="181"/>
    </row>
    <row r="260" spans="1:20" s="17" customFormat="1" outlineLevel="1" x14ac:dyDescent="0.25">
      <c r="A260" s="17">
        <f t="shared" si="94"/>
        <v>23</v>
      </c>
      <c r="B260"/>
      <c r="C260" t="str">
        <f>$F251</f>
        <v>SHC of Roanoke Rapids</v>
      </c>
      <c r="D260" s="1" t="str">
        <f t="shared" si="82"/>
        <v>T_RENT_EXP - Tenant Rent Expense</v>
      </c>
      <c r="E260"/>
      <c r="F260" s="24" t="str">
        <f>_xll.EVDES(D260)</f>
        <v>Tenant Rent Expense</v>
      </c>
      <c r="G260" s="19">
        <f ca="1">SUMIFS(OFFSET('BPC Data'!$F:$F,0,Summary!G$2),'BPC Data'!$E:$E,Summary!$D260,'BPC Data'!$B:$B,Summary!$C260)</f>
        <v>129325</v>
      </c>
      <c r="H260" s="183">
        <f ca="1">SUMIFS(OFFSET('BPC Data'!$F:$F,0,Summary!H$2),'BPC Data'!$E:$E,Summary!$D260,'BPC Data'!$B:$B,Summary!$C260)</f>
        <v>129325</v>
      </c>
      <c r="I260" s="19">
        <f ca="1">SUMIFS(OFFSET('BPC Data'!$F:$F,0,Summary!I$2),'BPC Data'!$E:$E,Summary!$D260,'BPC Data'!$B:$B,Summary!$C260)</f>
        <v>129325</v>
      </c>
      <c r="J260" s="183">
        <f ca="1">SUMIFS(OFFSET('BPC Data'!$F:$F,0,Summary!J$2),'BPC Data'!$E:$E,Summary!$D260,'BPC Data'!$B:$B,Summary!$C260)</f>
        <v>132558</v>
      </c>
      <c r="K260" s="19">
        <f ca="1">SUMIFS(OFFSET('BPC Data'!$F:$F,0,Summary!K$2),'BPC Data'!$E:$E,Summary!$D260,'BPC Data'!$B:$B,Summary!$C260)</f>
        <v>132558</v>
      </c>
      <c r="L260" s="183">
        <f ca="1">SUMIFS(OFFSET('BPC Data'!$F:$F,0,Summary!L$2),'BPC Data'!$E:$E,Summary!$D260,'BPC Data'!$B:$B,Summary!$C260)</f>
        <v>132558</v>
      </c>
      <c r="M260" s="19">
        <f ca="1">SUMIFS(OFFSET('BPC Data'!$F:$F,0,Summary!M$2),'BPC Data'!$E:$E,Summary!$D260,'BPC Data'!$B:$B,Summary!$C260)</f>
        <v>132558</v>
      </c>
      <c r="N260" s="183">
        <f ca="1">SUMIFS(OFFSET('BPC Data'!$F:$F,0,Summary!N$2),'BPC Data'!$E:$E,Summary!$D260,'BPC Data'!$B:$B,Summary!$C260)</f>
        <v>132558</v>
      </c>
      <c r="O260" s="19">
        <f ca="1">SUMIFS(OFFSET('BPC Data'!$F:$F,0,Summary!O$2),'BPC Data'!$E:$E,Summary!$D260,'BPC Data'!$B:$B,Summary!$C260)</f>
        <v>132558</v>
      </c>
      <c r="P260" s="183">
        <f ca="1">SUMIFS(OFFSET('BPC Data'!$F:$F,0,Summary!P$2),'BPC Data'!$E:$E,Summary!$D260,'BPC Data'!$B:$B,Summary!$C260)</f>
        <v>132558</v>
      </c>
      <c r="Q260" s="19">
        <f ca="1">SUMIFS(OFFSET('BPC Data'!$F:$F,0,Summary!Q$2),'BPC Data'!$E:$E,Summary!$D260,'BPC Data'!$B:$B,Summary!$C260)</f>
        <v>132558</v>
      </c>
      <c r="R260" s="183">
        <f ca="1">SUMIFS(OFFSET('BPC Data'!$F:$F,0,Summary!R$2),'BPC Data'!$E:$E,Summary!$D260,'BPC Data'!$B:$B,Summary!$C260)</f>
        <v>132558</v>
      </c>
      <c r="S260" s="187">
        <f t="shared" ca="1" si="78"/>
        <v>1580997</v>
      </c>
      <c r="T260" s="181"/>
    </row>
    <row r="261" spans="1:20" s="17" customFormat="1" outlineLevel="1" x14ac:dyDescent="0.25">
      <c r="A261" s="17">
        <f t="shared" si="94"/>
        <v>23</v>
      </c>
      <c r="B261"/>
      <c r="C261"/>
      <c r="D261" s="1" t="str">
        <f t="shared" si="82"/>
        <v>x</v>
      </c>
      <c r="E261"/>
      <c r="F261" s="24" t="s">
        <v>0</v>
      </c>
      <c r="G261" s="12">
        <f ca="1">G259/G260</f>
        <v>3.3972163154842452</v>
      </c>
      <c r="H261" s="184">
        <f t="shared" ref="H261:I261" ca="1" si="95">H259/H260</f>
        <v>1.6365203943553064</v>
      </c>
      <c r="I261" s="12">
        <f t="shared" ca="1" si="95"/>
        <v>1.6721670210709454</v>
      </c>
      <c r="J261" s="184">
        <f t="shared" ref="J261:R261" ca="1" si="96">J259/J260</f>
        <v>-1.6189969673652289</v>
      </c>
      <c r="K261" s="12">
        <f t="shared" ca="1" si="96"/>
        <v>1.6177597730804629</v>
      </c>
      <c r="L261" s="184">
        <f t="shared" ca="1" si="96"/>
        <v>1.031789858024412</v>
      </c>
      <c r="M261" s="12">
        <f t="shared" ca="1" si="96"/>
        <v>-0.42976659273676426</v>
      </c>
      <c r="N261" s="184">
        <f t="shared" ca="1" si="96"/>
        <v>-0.21945865206173901</v>
      </c>
      <c r="O261" s="12">
        <f t="shared" ca="1" si="96"/>
        <v>1.0696902487967532</v>
      </c>
      <c r="P261" s="184">
        <f t="shared" ca="1" si="96"/>
        <v>2.037289337497548</v>
      </c>
      <c r="Q261" s="12">
        <f t="shared" ca="1" si="96"/>
        <v>-0.5327102098703963</v>
      </c>
      <c r="R261" s="184">
        <f t="shared" ca="1" si="96"/>
        <v>0.47414716576894644</v>
      </c>
      <c r="S261" s="187">
        <f t="shared" ca="1" si="78"/>
        <v>10.13564769204449</v>
      </c>
      <c r="T261" s="181"/>
    </row>
    <row r="262" spans="1:20" s="17" customFormat="1" outlineLevel="1" x14ac:dyDescent="0.25">
      <c r="A262" s="17">
        <f>IF(AND(D262&lt;&gt;"",C262=""),A261+1,A261)</f>
        <v>24</v>
      </c>
      <c r="B262" s="5"/>
      <c r="C262" s="5"/>
      <c r="D262" s="5" t="str">
        <f t="shared" si="82"/>
        <v>x</v>
      </c>
      <c r="E262" s="5"/>
      <c r="F262" s="23" t="str">
        <f>INDEX(PropertyList!$D:$D,MATCH(Summary!$A262,PropertyList!$C:$C,0))</f>
        <v>SHC of Kinston</v>
      </c>
      <c r="G262" s="11"/>
      <c r="H262" s="182"/>
      <c r="I262" s="11"/>
      <c r="J262" s="182"/>
      <c r="K262" s="11"/>
      <c r="L262" s="182"/>
      <c r="M262" s="11"/>
      <c r="N262" s="182"/>
      <c r="O262" s="11"/>
      <c r="P262" s="182"/>
      <c r="Q262" s="11"/>
      <c r="R262" s="182"/>
      <c r="S262" s="187">
        <f t="shared" si="78"/>
        <v>0</v>
      </c>
      <c r="T262" s="181"/>
    </row>
    <row r="263" spans="1:20" s="17" customFormat="1" outlineLevel="1" x14ac:dyDescent="0.25">
      <c r="A263" s="17">
        <f>IF(AND(F263&lt;&gt;"",D263=""),A262+1,A262)</f>
        <v>24</v>
      </c>
      <c r="C263" t="str">
        <f>$F262</f>
        <v>SHC of Kinston</v>
      </c>
      <c r="D263" s="3" t="str">
        <f t="shared" si="82"/>
        <v>PAY_PAT_DAYS - Total Payor Patient Days</v>
      </c>
      <c r="F263" s="24" t="str">
        <f>_xll.EVDES(D263)</f>
        <v>Total Payor Patient Days</v>
      </c>
      <c r="G263" s="19">
        <f ca="1">SUMIFS(OFFSET('BPC Data'!$F:$F,0,Summary!G$2),'BPC Data'!$E:$E,Summary!$D263,'BPC Data'!$B:$B,Summary!$C263)</f>
        <v>2759</v>
      </c>
      <c r="H263" s="183">
        <f ca="1">SUMIFS(OFFSET('BPC Data'!$F:$F,0,Summary!H$2),'BPC Data'!$E:$E,Summary!$D263,'BPC Data'!$B:$B,Summary!$C263)</f>
        <v>2869</v>
      </c>
      <c r="I263" s="19">
        <f ca="1">SUMIFS(OFFSET('BPC Data'!$F:$F,0,Summary!I$2),'BPC Data'!$E:$E,Summary!$D263,'BPC Data'!$B:$B,Summary!$C263)</f>
        <v>2775</v>
      </c>
      <c r="J263" s="183">
        <f ca="1">SUMIFS(OFFSET('BPC Data'!$F:$F,0,Summary!J$2),'BPC Data'!$E:$E,Summary!$D263,'BPC Data'!$B:$B,Summary!$C263)</f>
        <v>2736</v>
      </c>
      <c r="K263" s="19">
        <f ca="1">SUMIFS(OFFSET('BPC Data'!$F:$F,0,Summary!K$2),'BPC Data'!$E:$E,Summary!$D263,'BPC Data'!$B:$B,Summary!$C263)</f>
        <v>2697</v>
      </c>
      <c r="L263" s="183">
        <f ca="1">SUMIFS(OFFSET('BPC Data'!$F:$F,0,Summary!L$2),'BPC Data'!$E:$E,Summary!$D263,'BPC Data'!$B:$B,Summary!$C263)</f>
        <v>2433</v>
      </c>
      <c r="M263" s="19">
        <f ca="1">SUMIFS(OFFSET('BPC Data'!$F:$F,0,Summary!M$2),'BPC Data'!$E:$E,Summary!$D263,'BPC Data'!$B:$B,Summary!$C263)</f>
        <v>2650</v>
      </c>
      <c r="N263" s="183">
        <f ca="1">SUMIFS(OFFSET('BPC Data'!$F:$F,0,Summary!N$2),'BPC Data'!$E:$E,Summary!$D263,'BPC Data'!$B:$B,Summary!$C263)</f>
        <v>2512</v>
      </c>
      <c r="O263" s="19">
        <f ca="1">SUMIFS(OFFSET('BPC Data'!$F:$F,0,Summary!O$2),'BPC Data'!$E:$E,Summary!$D263,'BPC Data'!$B:$B,Summary!$C263)</f>
        <v>2577</v>
      </c>
      <c r="P263" s="183">
        <f ca="1">SUMIFS(OFFSET('BPC Data'!$F:$F,0,Summary!P$2),'BPC Data'!$E:$E,Summary!$D263,'BPC Data'!$B:$B,Summary!$C263)</f>
        <v>2528</v>
      </c>
      <c r="Q263" s="19">
        <f ca="1">SUMIFS(OFFSET('BPC Data'!$F:$F,0,Summary!Q$2),'BPC Data'!$E:$E,Summary!$D263,'BPC Data'!$B:$B,Summary!$C263)</f>
        <v>2678</v>
      </c>
      <c r="R263" s="183">
        <f ca="1">SUMIFS(OFFSET('BPC Data'!$F:$F,0,Summary!R$2),'BPC Data'!$E:$E,Summary!$D263,'BPC Data'!$B:$B,Summary!$C263)</f>
        <v>2610</v>
      </c>
      <c r="S263" s="187">
        <f t="shared" ca="1" si="78"/>
        <v>31824</v>
      </c>
      <c r="T263" s="181"/>
    </row>
    <row r="264" spans="1:20" s="17" customFormat="1" outlineLevel="1" x14ac:dyDescent="0.25">
      <c r="A264" s="17">
        <f t="shared" ref="A264:A272" si="97">IF(AND(F264&lt;&gt;"",D264=""),A263+1,A263)</f>
        <v>24</v>
      </c>
      <c r="C264" t="str">
        <f>$F262</f>
        <v>SHC of Kinston</v>
      </c>
      <c r="D264" s="3" t="str">
        <f t="shared" si="82"/>
        <v>A_BEDS_TOTAL - Total Available Beds</v>
      </c>
      <c r="F264" s="24" t="str">
        <f>_xll.EVDES(D264)</f>
        <v>Total Available Beds</v>
      </c>
      <c r="G264" s="19">
        <f ca="1">SUMIFS(OFFSET('BPC Data'!$F:$F,0,Summary!G$2),'BPC Data'!$E:$E,Summary!$D264,'BPC Data'!$B:$B,Summary!$C264)</f>
        <v>106</v>
      </c>
      <c r="H264" s="183">
        <f ca="1">SUMIFS(OFFSET('BPC Data'!$F:$F,0,Summary!H$2),'BPC Data'!$E:$E,Summary!$D264,'BPC Data'!$B:$B,Summary!$C264)</f>
        <v>106</v>
      </c>
      <c r="I264" s="19">
        <f ca="1">SUMIFS(OFFSET('BPC Data'!$F:$F,0,Summary!I$2),'BPC Data'!$E:$E,Summary!$D264,'BPC Data'!$B:$B,Summary!$C264)</f>
        <v>106</v>
      </c>
      <c r="J264" s="183">
        <f ca="1">SUMIFS(OFFSET('BPC Data'!$F:$F,0,Summary!J$2),'BPC Data'!$E:$E,Summary!$D264,'BPC Data'!$B:$B,Summary!$C264)</f>
        <v>106</v>
      </c>
      <c r="K264" s="19">
        <f ca="1">SUMIFS(OFFSET('BPC Data'!$F:$F,0,Summary!K$2),'BPC Data'!$E:$E,Summary!$D264,'BPC Data'!$B:$B,Summary!$C264)</f>
        <v>106</v>
      </c>
      <c r="L264" s="183">
        <f ca="1">SUMIFS(OFFSET('BPC Data'!$F:$F,0,Summary!L$2),'BPC Data'!$E:$E,Summary!$D264,'BPC Data'!$B:$B,Summary!$C264)</f>
        <v>106</v>
      </c>
      <c r="M264" s="19">
        <f ca="1">SUMIFS(OFFSET('BPC Data'!$F:$F,0,Summary!M$2),'BPC Data'!$E:$E,Summary!$D264,'BPC Data'!$B:$B,Summary!$C264)</f>
        <v>106</v>
      </c>
      <c r="N264" s="183">
        <f ca="1">SUMIFS(OFFSET('BPC Data'!$F:$F,0,Summary!N$2),'BPC Data'!$E:$E,Summary!$D264,'BPC Data'!$B:$B,Summary!$C264)</f>
        <v>106</v>
      </c>
      <c r="O264" s="19">
        <f ca="1">SUMIFS(OFFSET('BPC Data'!$F:$F,0,Summary!O$2),'BPC Data'!$E:$E,Summary!$D264,'BPC Data'!$B:$B,Summary!$C264)</f>
        <v>106</v>
      </c>
      <c r="P264" s="183">
        <f ca="1">SUMIFS(OFFSET('BPC Data'!$F:$F,0,Summary!P$2),'BPC Data'!$E:$E,Summary!$D264,'BPC Data'!$B:$B,Summary!$C264)</f>
        <v>106</v>
      </c>
      <c r="Q264" s="19">
        <f ca="1">SUMIFS(OFFSET('BPC Data'!$F:$F,0,Summary!Q$2),'BPC Data'!$E:$E,Summary!$D264,'BPC Data'!$B:$B,Summary!$C264)</f>
        <v>106</v>
      </c>
      <c r="R264" s="183">
        <f ca="1">SUMIFS(OFFSET('BPC Data'!$F:$F,0,Summary!R$2),'BPC Data'!$E:$E,Summary!$D264,'BPC Data'!$B:$B,Summary!$C264)</f>
        <v>106</v>
      </c>
      <c r="S264" s="187">
        <f ca="1">R264</f>
        <v>106</v>
      </c>
      <c r="T264" s="181"/>
    </row>
    <row r="265" spans="1:20" s="17" customFormat="1" outlineLevel="1" x14ac:dyDescent="0.25">
      <c r="A265" s="17">
        <f t="shared" si="97"/>
        <v>24</v>
      </c>
      <c r="B265"/>
      <c r="C265" t="str">
        <f>$F262</f>
        <v>SHC of Kinston</v>
      </c>
      <c r="D265" s="3" t="str">
        <f t="shared" si="82"/>
        <v>T_REVENUES - Total Tenant Revenues</v>
      </c>
      <c r="E265"/>
      <c r="F265" s="24" t="str">
        <f>_xll.EVDES(D265)</f>
        <v>Total Tenant Revenues</v>
      </c>
      <c r="G265" s="19">
        <f ca="1">SUMIFS(OFFSET('BPC Data'!$F:$F,0,Summary!G$2),'BPC Data'!$E:$E,Summary!$D265,'BPC Data'!$B:$B,Summary!$C265)</f>
        <v>959806</v>
      </c>
      <c r="H265" s="183">
        <f ca="1">SUMIFS(OFFSET('BPC Data'!$F:$F,0,Summary!H$2),'BPC Data'!$E:$E,Summary!$D265,'BPC Data'!$B:$B,Summary!$C265)</f>
        <v>1057382</v>
      </c>
      <c r="I265" s="19">
        <f ca="1">SUMIFS(OFFSET('BPC Data'!$F:$F,0,Summary!I$2),'BPC Data'!$E:$E,Summary!$D265,'BPC Data'!$B:$B,Summary!$C265)</f>
        <v>991759</v>
      </c>
      <c r="J265" s="183">
        <f ca="1">SUMIFS(OFFSET('BPC Data'!$F:$F,0,Summary!J$2),'BPC Data'!$E:$E,Summary!$D265,'BPC Data'!$B:$B,Summary!$C265)</f>
        <v>906135</v>
      </c>
      <c r="K265" s="19">
        <f ca="1">SUMIFS(OFFSET('BPC Data'!$F:$F,0,Summary!K$2),'BPC Data'!$E:$E,Summary!$D265,'BPC Data'!$B:$B,Summary!$C265)</f>
        <v>943120</v>
      </c>
      <c r="L265" s="183">
        <f ca="1">SUMIFS(OFFSET('BPC Data'!$F:$F,0,Summary!L$2),'BPC Data'!$E:$E,Summary!$D265,'BPC Data'!$B:$B,Summary!$C265)</f>
        <v>868757</v>
      </c>
      <c r="M265" s="19">
        <f ca="1">SUMIFS(OFFSET('BPC Data'!$F:$F,0,Summary!M$2),'BPC Data'!$E:$E,Summary!$D265,'BPC Data'!$B:$B,Summary!$C265)</f>
        <v>926595</v>
      </c>
      <c r="N265" s="183">
        <f ca="1">SUMIFS(OFFSET('BPC Data'!$F:$F,0,Summary!N$2),'BPC Data'!$E:$E,Summary!$D265,'BPC Data'!$B:$B,Summary!$C265)</f>
        <v>700900</v>
      </c>
      <c r="O265" s="19">
        <f ca="1">SUMIFS(OFFSET('BPC Data'!$F:$F,0,Summary!O$2),'BPC Data'!$E:$E,Summary!$D265,'BPC Data'!$B:$B,Summary!$C265)</f>
        <v>890537</v>
      </c>
      <c r="P265" s="183">
        <f ca="1">SUMIFS(OFFSET('BPC Data'!$F:$F,0,Summary!P$2),'BPC Data'!$E:$E,Summary!$D265,'BPC Data'!$B:$B,Summary!$C265)</f>
        <v>707827</v>
      </c>
      <c r="Q265" s="19">
        <f ca="1">SUMIFS(OFFSET('BPC Data'!$F:$F,0,Summary!Q$2),'BPC Data'!$E:$E,Summary!$D265,'BPC Data'!$B:$B,Summary!$C265)</f>
        <v>759910</v>
      </c>
      <c r="R265" s="183">
        <f ca="1">SUMIFS(OFFSET('BPC Data'!$F:$F,0,Summary!R$2),'BPC Data'!$E:$E,Summary!$D265,'BPC Data'!$B:$B,Summary!$C265)</f>
        <v>739615</v>
      </c>
      <c r="S265" s="187">
        <f t="shared" ca="1" si="78"/>
        <v>10452343</v>
      </c>
      <c r="T265" s="181"/>
    </row>
    <row r="266" spans="1:20" s="17" customFormat="1" outlineLevel="1" x14ac:dyDescent="0.25">
      <c r="A266" s="17">
        <f t="shared" si="97"/>
        <v>24</v>
      </c>
      <c r="B266"/>
      <c r="C266" t="str">
        <f>$F262</f>
        <v>SHC of Kinston</v>
      </c>
      <c r="D266" s="3" t="str">
        <f t="shared" si="82"/>
        <v>T_OPEX - Tenant Operating Expenses</v>
      </c>
      <c r="E266"/>
      <c r="F266" s="24" t="str">
        <f>_xll.EVDES(D266)</f>
        <v>Tenant Operating Expenses</v>
      </c>
      <c r="G266" s="19">
        <f ca="1">SUMIFS(OFFSET('BPC Data'!$F:$F,0,Summary!G$2),'BPC Data'!$E:$E,Summary!$D266,'BPC Data'!$B:$B,Summary!$C266)</f>
        <v>552439</v>
      </c>
      <c r="H266" s="183">
        <f ca="1">SUMIFS(OFFSET('BPC Data'!$F:$F,0,Summary!H$2),'BPC Data'!$E:$E,Summary!$D266,'BPC Data'!$B:$B,Summary!$C266)</f>
        <v>628391</v>
      </c>
      <c r="I266" s="19">
        <f ca="1">SUMIFS(OFFSET('BPC Data'!$F:$F,0,Summary!I$2),'BPC Data'!$E:$E,Summary!$D266,'BPC Data'!$B:$B,Summary!$C266)</f>
        <v>584095</v>
      </c>
      <c r="J266" s="183">
        <f ca="1">SUMIFS(OFFSET('BPC Data'!$F:$F,0,Summary!J$2),'BPC Data'!$E:$E,Summary!$D266,'BPC Data'!$B:$B,Summary!$C266)</f>
        <v>697655</v>
      </c>
      <c r="K266" s="19">
        <f ca="1">SUMIFS(OFFSET('BPC Data'!$F:$F,0,Summary!K$2),'BPC Data'!$E:$E,Summary!$D266,'BPC Data'!$B:$B,Summary!$C266)</f>
        <v>567914</v>
      </c>
      <c r="L266" s="183">
        <f ca="1">SUMIFS(OFFSET('BPC Data'!$F:$F,0,Summary!L$2),'BPC Data'!$E:$E,Summary!$D266,'BPC Data'!$B:$B,Summary!$C266)</f>
        <v>594163</v>
      </c>
      <c r="M266" s="19">
        <f ca="1">SUMIFS(OFFSET('BPC Data'!$F:$F,0,Summary!M$2),'BPC Data'!$E:$E,Summary!$D266,'BPC Data'!$B:$B,Summary!$C266)</f>
        <v>583742</v>
      </c>
      <c r="N266" s="183">
        <f ca="1">SUMIFS(OFFSET('BPC Data'!$F:$F,0,Summary!N$2),'BPC Data'!$E:$E,Summary!$D266,'BPC Data'!$B:$B,Summary!$C266)</f>
        <v>621788</v>
      </c>
      <c r="O266" s="19">
        <f ca="1">SUMIFS(OFFSET('BPC Data'!$F:$F,0,Summary!O$2),'BPC Data'!$E:$E,Summary!$D266,'BPC Data'!$B:$B,Summary!$C266)</f>
        <v>583760</v>
      </c>
      <c r="P266" s="183">
        <f ca="1">SUMIFS(OFFSET('BPC Data'!$F:$F,0,Summary!P$2),'BPC Data'!$E:$E,Summary!$D266,'BPC Data'!$B:$B,Summary!$C266)</f>
        <v>568655</v>
      </c>
      <c r="Q266" s="19">
        <f ca="1">SUMIFS(OFFSET('BPC Data'!$F:$F,0,Summary!Q$2),'BPC Data'!$E:$E,Summary!$D266,'BPC Data'!$B:$B,Summary!$C266)</f>
        <v>606592</v>
      </c>
      <c r="R266" s="183">
        <f ca="1">SUMIFS(OFFSET('BPC Data'!$F:$F,0,Summary!R$2),'BPC Data'!$E:$E,Summary!$D266,'BPC Data'!$B:$B,Summary!$C266)</f>
        <v>625543</v>
      </c>
      <c r="S266" s="187">
        <f t="shared" ca="1" si="78"/>
        <v>7214737</v>
      </c>
      <c r="T266" s="181"/>
    </row>
    <row r="267" spans="1:20" s="17" customFormat="1" outlineLevel="1" x14ac:dyDescent="0.25">
      <c r="A267" s="17">
        <f t="shared" si="97"/>
        <v>24</v>
      </c>
      <c r="B267"/>
      <c r="C267" t="str">
        <f>$F262</f>
        <v>SHC of Kinston</v>
      </c>
      <c r="D267" s="3" t="str">
        <f t="shared" si="82"/>
        <v>T_BAD_DEBT - Tenant Bad Debt Expense</v>
      </c>
      <c r="E267"/>
      <c r="F267" s="24" t="str">
        <f>_xll.EVDES(D267)</f>
        <v>Tenant Bad Debt Expense</v>
      </c>
      <c r="G267" s="19">
        <f ca="1">SUMIFS(OFFSET('BPC Data'!$F:$F,0,Summary!G$2),'BPC Data'!$E:$E,Summary!$D267,'BPC Data'!$B:$B,Summary!$C267)</f>
        <v>9630</v>
      </c>
      <c r="H267" s="183">
        <f ca="1">SUMIFS(OFFSET('BPC Data'!$F:$F,0,Summary!H$2),'BPC Data'!$E:$E,Summary!$D267,'BPC Data'!$B:$B,Summary!$C267)</f>
        <v>19516</v>
      </c>
      <c r="I267" s="19">
        <f ca="1">SUMIFS(OFFSET('BPC Data'!$F:$F,0,Summary!I$2),'BPC Data'!$E:$E,Summary!$D267,'BPC Data'!$B:$B,Summary!$C267)</f>
        <v>12000</v>
      </c>
      <c r="J267" s="183">
        <f ca="1">SUMIFS(OFFSET('BPC Data'!$F:$F,0,Summary!J$2),'BPC Data'!$E:$E,Summary!$D267,'BPC Data'!$B:$B,Summary!$C267)</f>
        <v>19642</v>
      </c>
      <c r="K267" s="19">
        <f ca="1">SUMIFS(OFFSET('BPC Data'!$F:$F,0,Summary!K$2),'BPC Data'!$E:$E,Summary!$D267,'BPC Data'!$B:$B,Summary!$C267)</f>
        <v>12384</v>
      </c>
      <c r="L267" s="183">
        <f ca="1">SUMIFS(OFFSET('BPC Data'!$F:$F,0,Summary!L$2),'BPC Data'!$E:$E,Summary!$D267,'BPC Data'!$B:$B,Summary!$C267)</f>
        <v>13000</v>
      </c>
      <c r="M267" s="19">
        <f ca="1">SUMIFS(OFFSET('BPC Data'!$F:$F,0,Summary!M$2),'BPC Data'!$E:$E,Summary!$D267,'BPC Data'!$B:$B,Summary!$C267)</f>
        <v>0</v>
      </c>
      <c r="N267" s="183">
        <f ca="1">SUMIFS(OFFSET('BPC Data'!$F:$F,0,Summary!N$2),'BPC Data'!$E:$E,Summary!$D267,'BPC Data'!$B:$B,Summary!$C267)</f>
        <v>57701</v>
      </c>
      <c r="O267" s="19">
        <f ca="1">SUMIFS(OFFSET('BPC Data'!$F:$F,0,Summary!O$2),'BPC Data'!$E:$E,Summary!$D267,'BPC Data'!$B:$B,Summary!$C267)</f>
        <v>5000</v>
      </c>
      <c r="P267" s="183">
        <f ca="1">SUMIFS(OFFSET('BPC Data'!$F:$F,0,Summary!P$2),'BPC Data'!$E:$E,Summary!$D267,'BPC Data'!$B:$B,Summary!$C267)</f>
        <v>10000</v>
      </c>
      <c r="Q267" s="19">
        <f ca="1">SUMIFS(OFFSET('BPC Data'!$F:$F,0,Summary!Q$2),'BPC Data'!$E:$E,Summary!$D267,'BPC Data'!$B:$B,Summary!$C267)</f>
        <v>0</v>
      </c>
      <c r="R267" s="183">
        <f ca="1">SUMIFS(OFFSET('BPC Data'!$F:$F,0,Summary!R$2),'BPC Data'!$E:$E,Summary!$D267,'BPC Data'!$B:$B,Summary!$C267)</f>
        <v>0</v>
      </c>
      <c r="S267" s="187">
        <f t="shared" ref="S267:S329" ca="1" si="98">SUM(G267:R267)</f>
        <v>158873</v>
      </c>
      <c r="T267" s="181"/>
    </row>
    <row r="268" spans="1:20" s="17" customFormat="1" outlineLevel="1" x14ac:dyDescent="0.25">
      <c r="A268" s="17">
        <f t="shared" si="97"/>
        <v>24</v>
      </c>
      <c r="B268"/>
      <c r="C268" t="str">
        <f>$F262</f>
        <v>SHC of Kinston</v>
      </c>
      <c r="D268" s="2" t="str">
        <f t="shared" si="82"/>
        <v>T_EBITDARM - EBITDARM</v>
      </c>
      <c r="E268"/>
      <c r="F268" s="24" t="str">
        <f>_xll.EVDES(D268)</f>
        <v>EBITDARM</v>
      </c>
      <c r="G268" s="19">
        <f ca="1">SUMIFS(OFFSET('BPC Data'!$F:$F,0,Summary!G$2),'BPC Data'!$E:$E,Summary!$D268,'BPC Data'!$B:$B,Summary!$C268)</f>
        <v>407367</v>
      </c>
      <c r="H268" s="183">
        <f ca="1">SUMIFS(OFFSET('BPC Data'!$F:$F,0,Summary!H$2),'BPC Data'!$E:$E,Summary!$D268,'BPC Data'!$B:$B,Summary!$C268)</f>
        <v>428991</v>
      </c>
      <c r="I268" s="19">
        <f ca="1">SUMIFS(OFFSET('BPC Data'!$F:$F,0,Summary!I$2),'BPC Data'!$E:$E,Summary!$D268,'BPC Data'!$B:$B,Summary!$C268)</f>
        <v>407664</v>
      </c>
      <c r="J268" s="183">
        <f ca="1">SUMIFS(OFFSET('BPC Data'!$F:$F,0,Summary!J$2),'BPC Data'!$E:$E,Summary!$D268,'BPC Data'!$B:$B,Summary!$C268)</f>
        <v>208480</v>
      </c>
      <c r="K268" s="19">
        <f ca="1">SUMIFS(OFFSET('BPC Data'!$F:$F,0,Summary!K$2),'BPC Data'!$E:$E,Summary!$D268,'BPC Data'!$B:$B,Summary!$C268)</f>
        <v>375206</v>
      </c>
      <c r="L268" s="183">
        <f ca="1">SUMIFS(OFFSET('BPC Data'!$F:$F,0,Summary!L$2),'BPC Data'!$E:$E,Summary!$D268,'BPC Data'!$B:$B,Summary!$C268)</f>
        <v>274594</v>
      </c>
      <c r="M268" s="19">
        <f ca="1">SUMIFS(OFFSET('BPC Data'!$F:$F,0,Summary!M$2),'BPC Data'!$E:$E,Summary!$D268,'BPC Data'!$B:$B,Summary!$C268)</f>
        <v>342853</v>
      </c>
      <c r="N268" s="183">
        <f ca="1">SUMIFS(OFFSET('BPC Data'!$F:$F,0,Summary!N$2),'BPC Data'!$E:$E,Summary!$D268,'BPC Data'!$B:$B,Summary!$C268)</f>
        <v>79112</v>
      </c>
      <c r="O268" s="19">
        <f ca="1">SUMIFS(OFFSET('BPC Data'!$F:$F,0,Summary!O$2),'BPC Data'!$E:$E,Summary!$D268,'BPC Data'!$B:$B,Summary!$C268)</f>
        <v>306777</v>
      </c>
      <c r="P268" s="183">
        <f ca="1">SUMIFS(OFFSET('BPC Data'!$F:$F,0,Summary!P$2),'BPC Data'!$E:$E,Summary!$D268,'BPC Data'!$B:$B,Summary!$C268)</f>
        <v>139172</v>
      </c>
      <c r="Q268" s="19">
        <f ca="1">SUMIFS(OFFSET('BPC Data'!$F:$F,0,Summary!Q$2),'BPC Data'!$E:$E,Summary!$D268,'BPC Data'!$B:$B,Summary!$C268)</f>
        <v>153318</v>
      </c>
      <c r="R268" s="183">
        <f ca="1">SUMIFS(OFFSET('BPC Data'!$F:$F,0,Summary!R$2),'BPC Data'!$E:$E,Summary!$D268,'BPC Data'!$B:$B,Summary!$C268)</f>
        <v>114072</v>
      </c>
      <c r="S268" s="187">
        <f t="shared" ca="1" si="98"/>
        <v>3237606</v>
      </c>
      <c r="T268" s="181"/>
    </row>
    <row r="269" spans="1:20" s="17" customFormat="1" outlineLevel="1" x14ac:dyDescent="0.25">
      <c r="A269" s="17">
        <f t="shared" si="97"/>
        <v>24</v>
      </c>
      <c r="B269"/>
      <c r="C269" t="str">
        <f>$F262</f>
        <v>SHC of Kinston</v>
      </c>
      <c r="D269" s="2" t="str">
        <f t="shared" si="82"/>
        <v>T_MGMT_FEE - Tenant Management Fee - Actual</v>
      </c>
      <c r="E269"/>
      <c r="F269" s="24" t="str">
        <f>_xll.EVDES(D269)</f>
        <v>Tenant Management Fee - Actual</v>
      </c>
      <c r="G269" s="19">
        <f ca="1">SUMIFS(OFFSET('BPC Data'!$F:$F,0,Summary!G$2),'BPC Data'!$E:$E,Summary!$D269,'BPC Data'!$B:$B,Summary!$C269)</f>
        <v>48470</v>
      </c>
      <c r="H269" s="183">
        <f ca="1">SUMIFS(OFFSET('BPC Data'!$F:$F,0,Summary!H$2),'BPC Data'!$E:$E,Summary!$D269,'BPC Data'!$B:$B,Summary!$C269)</f>
        <v>53398</v>
      </c>
      <c r="I269" s="19">
        <f ca="1">SUMIFS(OFFSET('BPC Data'!$F:$F,0,Summary!I$2),'BPC Data'!$E:$E,Summary!$D269,'BPC Data'!$B:$B,Summary!$C269)</f>
        <v>50084</v>
      </c>
      <c r="J269" s="183">
        <f ca="1">SUMIFS(OFFSET('BPC Data'!$F:$F,0,Summary!J$2),'BPC Data'!$E:$E,Summary!$D269,'BPC Data'!$B:$B,Summary!$C269)</f>
        <v>45760</v>
      </c>
      <c r="K269" s="19">
        <f ca="1">SUMIFS(OFFSET('BPC Data'!$F:$F,0,Summary!K$2),'BPC Data'!$E:$E,Summary!$D269,'BPC Data'!$B:$B,Summary!$C269)</f>
        <v>47628</v>
      </c>
      <c r="L269" s="183">
        <f ca="1">SUMIFS(OFFSET('BPC Data'!$F:$F,0,Summary!L$2),'BPC Data'!$E:$E,Summary!$D269,'BPC Data'!$B:$B,Summary!$C269)</f>
        <v>43872</v>
      </c>
      <c r="M269" s="19">
        <f ca="1">SUMIFS(OFFSET('BPC Data'!$F:$F,0,Summary!M$2),'BPC Data'!$E:$E,Summary!$D269,'BPC Data'!$B:$B,Summary!$C269)</f>
        <v>46793</v>
      </c>
      <c r="N269" s="183">
        <f ca="1">SUMIFS(OFFSET('BPC Data'!$F:$F,0,Summary!N$2),'BPC Data'!$E:$E,Summary!$D269,'BPC Data'!$B:$B,Summary!$C269)</f>
        <v>35395</v>
      </c>
      <c r="O269" s="19">
        <f ca="1">SUMIFS(OFFSET('BPC Data'!$F:$F,0,Summary!O$2),'BPC Data'!$E:$E,Summary!$D269,'BPC Data'!$B:$B,Summary!$C269)</f>
        <v>44972</v>
      </c>
      <c r="P269" s="183">
        <f ca="1">SUMIFS(OFFSET('BPC Data'!$F:$F,0,Summary!P$2),'BPC Data'!$E:$E,Summary!$D269,'BPC Data'!$B:$B,Summary!$C269)</f>
        <v>35745</v>
      </c>
      <c r="Q269" s="19">
        <f ca="1">SUMIFS(OFFSET('BPC Data'!$F:$F,0,Summary!Q$2),'BPC Data'!$E:$E,Summary!$D269,'BPC Data'!$B:$B,Summary!$C269)</f>
        <v>38375</v>
      </c>
      <c r="R269" s="183">
        <f ca="1">SUMIFS(OFFSET('BPC Data'!$F:$F,0,Summary!R$2),'BPC Data'!$E:$E,Summary!$D269,'BPC Data'!$B:$B,Summary!$C269)</f>
        <v>37351</v>
      </c>
      <c r="S269" s="187">
        <f t="shared" ca="1" si="98"/>
        <v>527843</v>
      </c>
      <c r="T269" s="181"/>
    </row>
    <row r="270" spans="1:20" s="17" customFormat="1" outlineLevel="1" x14ac:dyDescent="0.25">
      <c r="A270" s="17">
        <f t="shared" si="97"/>
        <v>24</v>
      </c>
      <c r="B270"/>
      <c r="C270" t="str">
        <f>$F262</f>
        <v>SHC of Kinston</v>
      </c>
      <c r="D270" s="1" t="str">
        <f t="shared" si="82"/>
        <v>T_EBITDAR - EBITDAR</v>
      </c>
      <c r="E270"/>
      <c r="F270" s="24" t="str">
        <f>_xll.EVDES(D270)</f>
        <v>EBITDAR</v>
      </c>
      <c r="G270" s="19">
        <f ca="1">SUMIFS(OFFSET('BPC Data'!$F:$F,0,Summary!G$2),'BPC Data'!$E:$E,Summary!$D270,'BPC Data'!$B:$B,Summary!$C270)</f>
        <v>358897</v>
      </c>
      <c r="H270" s="183">
        <f ca="1">SUMIFS(OFFSET('BPC Data'!$F:$F,0,Summary!H$2),'BPC Data'!$E:$E,Summary!$D270,'BPC Data'!$B:$B,Summary!$C270)</f>
        <v>375593</v>
      </c>
      <c r="I270" s="19">
        <f ca="1">SUMIFS(OFFSET('BPC Data'!$F:$F,0,Summary!I$2),'BPC Data'!$E:$E,Summary!$D270,'BPC Data'!$B:$B,Summary!$C270)</f>
        <v>357580</v>
      </c>
      <c r="J270" s="183">
        <f ca="1">SUMIFS(OFFSET('BPC Data'!$F:$F,0,Summary!J$2),'BPC Data'!$E:$E,Summary!$D270,'BPC Data'!$B:$B,Summary!$C270)</f>
        <v>162720</v>
      </c>
      <c r="K270" s="19">
        <f ca="1">SUMIFS(OFFSET('BPC Data'!$F:$F,0,Summary!K$2),'BPC Data'!$E:$E,Summary!$D270,'BPC Data'!$B:$B,Summary!$C270)</f>
        <v>327578</v>
      </c>
      <c r="L270" s="183">
        <f ca="1">SUMIFS(OFFSET('BPC Data'!$F:$F,0,Summary!L$2),'BPC Data'!$E:$E,Summary!$D270,'BPC Data'!$B:$B,Summary!$C270)</f>
        <v>230722</v>
      </c>
      <c r="M270" s="19">
        <f ca="1">SUMIFS(OFFSET('BPC Data'!$F:$F,0,Summary!M$2),'BPC Data'!$E:$E,Summary!$D270,'BPC Data'!$B:$B,Summary!$C270)</f>
        <v>296060</v>
      </c>
      <c r="N270" s="183">
        <f ca="1">SUMIFS(OFFSET('BPC Data'!$F:$F,0,Summary!N$2),'BPC Data'!$E:$E,Summary!$D270,'BPC Data'!$B:$B,Summary!$C270)</f>
        <v>43717</v>
      </c>
      <c r="O270" s="19">
        <f ca="1">SUMIFS(OFFSET('BPC Data'!$F:$F,0,Summary!O$2),'BPC Data'!$E:$E,Summary!$D270,'BPC Data'!$B:$B,Summary!$C270)</f>
        <v>261805</v>
      </c>
      <c r="P270" s="183">
        <f ca="1">SUMIFS(OFFSET('BPC Data'!$F:$F,0,Summary!P$2),'BPC Data'!$E:$E,Summary!$D270,'BPC Data'!$B:$B,Summary!$C270)</f>
        <v>103427</v>
      </c>
      <c r="Q270" s="19">
        <f ca="1">SUMIFS(OFFSET('BPC Data'!$F:$F,0,Summary!Q$2),'BPC Data'!$E:$E,Summary!$D270,'BPC Data'!$B:$B,Summary!$C270)</f>
        <v>114943</v>
      </c>
      <c r="R270" s="183">
        <f ca="1">SUMIFS(OFFSET('BPC Data'!$F:$F,0,Summary!R$2),'BPC Data'!$E:$E,Summary!$D270,'BPC Data'!$B:$B,Summary!$C270)</f>
        <v>76721</v>
      </c>
      <c r="S270" s="187">
        <f t="shared" ca="1" si="98"/>
        <v>2709763</v>
      </c>
      <c r="T270" s="181"/>
    </row>
    <row r="271" spans="1:20" s="17" customFormat="1" outlineLevel="1" x14ac:dyDescent="0.25">
      <c r="A271" s="17">
        <f t="shared" si="97"/>
        <v>24</v>
      </c>
      <c r="B271"/>
      <c r="C271" t="str">
        <f>$F262</f>
        <v>SHC of Kinston</v>
      </c>
      <c r="D271" s="1" t="str">
        <f t="shared" si="82"/>
        <v>T_RENT_EXP - Tenant Rent Expense</v>
      </c>
      <c r="E271"/>
      <c r="F271" s="24" t="str">
        <f>_xll.EVDES(D271)</f>
        <v>Tenant Rent Expense</v>
      </c>
      <c r="G271" s="19">
        <f ca="1">SUMIFS(OFFSET('BPC Data'!$F:$F,0,Summary!G$2),'BPC Data'!$E:$E,Summary!$D271,'BPC Data'!$B:$B,Summary!$C271)</f>
        <v>91542</v>
      </c>
      <c r="H271" s="183">
        <f ca="1">SUMIFS(OFFSET('BPC Data'!$F:$F,0,Summary!H$2),'BPC Data'!$E:$E,Summary!$D271,'BPC Data'!$B:$B,Summary!$C271)</f>
        <v>91542</v>
      </c>
      <c r="I271" s="19">
        <f ca="1">SUMIFS(OFFSET('BPC Data'!$F:$F,0,Summary!I$2),'BPC Data'!$E:$E,Summary!$D271,'BPC Data'!$B:$B,Summary!$C271)</f>
        <v>91542</v>
      </c>
      <c r="J271" s="183">
        <f ca="1">SUMIFS(OFFSET('BPC Data'!$F:$F,0,Summary!J$2),'BPC Data'!$E:$E,Summary!$D271,'BPC Data'!$B:$B,Summary!$C271)</f>
        <v>93831</v>
      </c>
      <c r="K271" s="19">
        <f ca="1">SUMIFS(OFFSET('BPC Data'!$F:$F,0,Summary!K$2),'BPC Data'!$E:$E,Summary!$D271,'BPC Data'!$B:$B,Summary!$C271)</f>
        <v>93831</v>
      </c>
      <c r="L271" s="183">
        <f ca="1">SUMIFS(OFFSET('BPC Data'!$F:$F,0,Summary!L$2),'BPC Data'!$E:$E,Summary!$D271,'BPC Data'!$B:$B,Summary!$C271)</f>
        <v>93831</v>
      </c>
      <c r="M271" s="19">
        <f ca="1">SUMIFS(OFFSET('BPC Data'!$F:$F,0,Summary!M$2),'BPC Data'!$E:$E,Summary!$D271,'BPC Data'!$B:$B,Summary!$C271)</f>
        <v>93831</v>
      </c>
      <c r="N271" s="183">
        <f ca="1">SUMIFS(OFFSET('BPC Data'!$F:$F,0,Summary!N$2),'BPC Data'!$E:$E,Summary!$D271,'BPC Data'!$B:$B,Summary!$C271)</f>
        <v>93831</v>
      </c>
      <c r="O271" s="19">
        <f ca="1">SUMIFS(OFFSET('BPC Data'!$F:$F,0,Summary!O$2),'BPC Data'!$E:$E,Summary!$D271,'BPC Data'!$B:$B,Summary!$C271)</f>
        <v>93831</v>
      </c>
      <c r="P271" s="183">
        <f ca="1">SUMIFS(OFFSET('BPC Data'!$F:$F,0,Summary!P$2),'BPC Data'!$E:$E,Summary!$D271,'BPC Data'!$B:$B,Summary!$C271)</f>
        <v>93831</v>
      </c>
      <c r="Q271" s="19">
        <f ca="1">SUMIFS(OFFSET('BPC Data'!$F:$F,0,Summary!Q$2),'BPC Data'!$E:$E,Summary!$D271,'BPC Data'!$B:$B,Summary!$C271)</f>
        <v>93831</v>
      </c>
      <c r="R271" s="183">
        <f ca="1">SUMIFS(OFFSET('BPC Data'!$F:$F,0,Summary!R$2),'BPC Data'!$E:$E,Summary!$D271,'BPC Data'!$B:$B,Summary!$C271)</f>
        <v>93831</v>
      </c>
      <c r="S271" s="187">
        <f t="shared" ca="1" si="98"/>
        <v>1119105</v>
      </c>
      <c r="T271" s="181"/>
    </row>
    <row r="272" spans="1:20" s="17" customFormat="1" outlineLevel="1" x14ac:dyDescent="0.25">
      <c r="A272" s="17">
        <f t="shared" si="97"/>
        <v>24</v>
      </c>
      <c r="B272"/>
      <c r="C272"/>
      <c r="D272" s="1" t="str">
        <f t="shared" si="82"/>
        <v>x</v>
      </c>
      <c r="E272"/>
      <c r="F272" s="24" t="s">
        <v>0</v>
      </c>
      <c r="G272" s="12">
        <f ca="1">G270/G271</f>
        <v>3.9205719778899302</v>
      </c>
      <c r="H272" s="184">
        <f t="shared" ref="H272:I272" ca="1" si="99">H270/H271</f>
        <v>4.1029582049769502</v>
      </c>
      <c r="I272" s="12">
        <f t="shared" ca="1" si="99"/>
        <v>3.9061851390618516</v>
      </c>
      <c r="J272" s="184">
        <f t="shared" ref="J272:R272" ca="1" si="100">J270/J271</f>
        <v>1.7341816670396777</v>
      </c>
      <c r="K272" s="12">
        <f t="shared" ca="1" si="100"/>
        <v>3.4911489806140827</v>
      </c>
      <c r="L272" s="184">
        <f t="shared" ca="1" si="100"/>
        <v>2.4589101682812715</v>
      </c>
      <c r="M272" s="12">
        <f t="shared" ca="1" si="100"/>
        <v>3.1552471997527469</v>
      </c>
      <c r="N272" s="184">
        <f t="shared" ca="1" si="100"/>
        <v>0.46591211859619958</v>
      </c>
      <c r="O272" s="12">
        <f t="shared" ca="1" si="100"/>
        <v>2.7901759546418563</v>
      </c>
      <c r="P272" s="184">
        <f t="shared" ca="1" si="100"/>
        <v>1.1022689729407125</v>
      </c>
      <c r="Q272" s="12">
        <f t="shared" ca="1" si="100"/>
        <v>1.2250002664364656</v>
      </c>
      <c r="R272" s="184">
        <f t="shared" ca="1" si="100"/>
        <v>0.81765088297044686</v>
      </c>
      <c r="S272" s="187">
        <f t="shared" ca="1" si="98"/>
        <v>29.170211533202195</v>
      </c>
      <c r="T272" s="181"/>
    </row>
    <row r="273" spans="1:20" s="17" customFormat="1" outlineLevel="1" x14ac:dyDescent="0.25">
      <c r="A273" s="17">
        <f>IF(AND(D273&lt;&gt;"",C273=""),A272+1,A272)</f>
        <v>25</v>
      </c>
      <c r="B273" s="5"/>
      <c r="C273" s="5"/>
      <c r="D273" s="5" t="str">
        <f t="shared" si="82"/>
        <v>x</v>
      </c>
      <c r="E273" s="5"/>
      <c r="F273" s="23" t="str">
        <f>INDEX(PropertyList!$D:$D,MATCH(Summary!$A273,PropertyList!$C:$C,0))</f>
        <v>Gastonia Care and Rehabilitation</v>
      </c>
      <c r="G273" s="11"/>
      <c r="H273" s="182"/>
      <c r="I273" s="11"/>
      <c r="J273" s="182"/>
      <c r="K273" s="11"/>
      <c r="L273" s="182"/>
      <c r="M273" s="11"/>
      <c r="N273" s="182"/>
      <c r="O273" s="11"/>
      <c r="P273" s="182"/>
      <c r="Q273" s="11"/>
      <c r="R273" s="182"/>
      <c r="S273" s="187">
        <f t="shared" si="98"/>
        <v>0</v>
      </c>
      <c r="T273" s="181"/>
    </row>
    <row r="274" spans="1:20" s="17" customFormat="1" outlineLevel="1" x14ac:dyDescent="0.25">
      <c r="A274" s="17">
        <f>IF(AND(F274&lt;&gt;"",D274=""),A273+1,A273)</f>
        <v>25</v>
      </c>
      <c r="C274" t="str">
        <f>$F273</f>
        <v>Gastonia Care and Rehabilitation</v>
      </c>
      <c r="D274" s="3" t="str">
        <f t="shared" si="82"/>
        <v>PAY_PAT_DAYS - Total Payor Patient Days</v>
      </c>
      <c r="F274" s="24" t="str">
        <f>_xll.EVDES(D274)</f>
        <v>Total Payor Patient Days</v>
      </c>
      <c r="G274" s="19">
        <f ca="1">SUMIFS(OFFSET('BPC Data'!$F:$F,0,Summary!G$2),'BPC Data'!$E:$E,Summary!$D274,'BPC Data'!$B:$B,Summary!$C274)</f>
        <v>0</v>
      </c>
      <c r="H274" s="183">
        <f ca="1">SUMIFS(OFFSET('BPC Data'!$F:$F,0,Summary!H$2),'BPC Data'!$E:$E,Summary!$D274,'BPC Data'!$B:$B,Summary!$C274)</f>
        <v>0</v>
      </c>
      <c r="I274" s="19">
        <f ca="1">SUMIFS(OFFSET('BPC Data'!$F:$F,0,Summary!I$2),'BPC Data'!$E:$E,Summary!$D274,'BPC Data'!$B:$B,Summary!$C274)</f>
        <v>0</v>
      </c>
      <c r="J274" s="183">
        <f ca="1">SUMIFS(OFFSET('BPC Data'!$F:$F,0,Summary!J$2),'BPC Data'!$E:$E,Summary!$D274,'BPC Data'!$B:$B,Summary!$C274)</f>
        <v>0</v>
      </c>
      <c r="K274" s="19">
        <f ca="1">SUMIFS(OFFSET('BPC Data'!$F:$F,0,Summary!K$2),'BPC Data'!$E:$E,Summary!$D274,'BPC Data'!$B:$B,Summary!$C274)</f>
        <v>0</v>
      </c>
      <c r="L274" s="183">
        <f ca="1">SUMIFS(OFFSET('BPC Data'!$F:$F,0,Summary!L$2),'BPC Data'!$E:$E,Summary!$D274,'BPC Data'!$B:$B,Summary!$C274)</f>
        <v>0</v>
      </c>
      <c r="M274" s="19">
        <f ca="1">SUMIFS(OFFSET('BPC Data'!$F:$F,0,Summary!M$2),'BPC Data'!$E:$E,Summary!$D274,'BPC Data'!$B:$B,Summary!$C274)</f>
        <v>0</v>
      </c>
      <c r="N274" s="183">
        <f ca="1">SUMIFS(OFFSET('BPC Data'!$F:$F,0,Summary!N$2),'BPC Data'!$E:$E,Summary!$D274,'BPC Data'!$B:$B,Summary!$C274)</f>
        <v>0</v>
      </c>
      <c r="O274" s="19">
        <f ca="1">SUMIFS(OFFSET('BPC Data'!$F:$F,0,Summary!O$2),'BPC Data'!$E:$E,Summary!$D274,'BPC Data'!$B:$B,Summary!$C274)</f>
        <v>0</v>
      </c>
      <c r="P274" s="183">
        <f ca="1">SUMIFS(OFFSET('BPC Data'!$F:$F,0,Summary!P$2),'BPC Data'!$E:$E,Summary!$D274,'BPC Data'!$B:$B,Summary!$C274)</f>
        <v>0</v>
      </c>
      <c r="Q274" s="19">
        <f ca="1">SUMIFS(OFFSET('BPC Data'!$F:$F,0,Summary!Q$2),'BPC Data'!$E:$E,Summary!$D274,'BPC Data'!$B:$B,Summary!$C274)</f>
        <v>0</v>
      </c>
      <c r="R274" s="183">
        <f ca="1">SUMIFS(OFFSET('BPC Data'!$F:$F,0,Summary!R$2),'BPC Data'!$E:$E,Summary!$D274,'BPC Data'!$B:$B,Summary!$C274)</f>
        <v>0</v>
      </c>
      <c r="S274" s="187">
        <f t="shared" ca="1" si="98"/>
        <v>0</v>
      </c>
      <c r="T274" s="181"/>
    </row>
    <row r="275" spans="1:20" s="17" customFormat="1" outlineLevel="1" x14ac:dyDescent="0.25">
      <c r="A275" s="17">
        <f t="shared" ref="A275:A283" si="101">IF(AND(F275&lt;&gt;"",D275=""),A274+1,A274)</f>
        <v>25</v>
      </c>
      <c r="C275" t="str">
        <f>$F273</f>
        <v>Gastonia Care and Rehabilitation</v>
      </c>
      <c r="D275" s="3" t="str">
        <f t="shared" si="82"/>
        <v>A_BEDS_TOTAL - Total Available Beds</v>
      </c>
      <c r="F275" s="24" t="str">
        <f>_xll.EVDES(D275)</f>
        <v>Total Available Beds</v>
      </c>
      <c r="G275" s="19">
        <f ca="1">SUMIFS(OFFSET('BPC Data'!$F:$F,0,Summary!G$2),'BPC Data'!$E:$E,Summary!$D275,'BPC Data'!$B:$B,Summary!$C275)</f>
        <v>0</v>
      </c>
      <c r="H275" s="183">
        <f ca="1">SUMIFS(OFFSET('BPC Data'!$F:$F,0,Summary!H$2),'BPC Data'!$E:$E,Summary!$D275,'BPC Data'!$B:$B,Summary!$C275)</f>
        <v>0</v>
      </c>
      <c r="I275" s="19">
        <f ca="1">SUMIFS(OFFSET('BPC Data'!$F:$F,0,Summary!I$2),'BPC Data'!$E:$E,Summary!$D275,'BPC Data'!$B:$B,Summary!$C275)</f>
        <v>0</v>
      </c>
      <c r="J275" s="183">
        <f ca="1">SUMIFS(OFFSET('BPC Data'!$F:$F,0,Summary!J$2),'BPC Data'!$E:$E,Summary!$D275,'BPC Data'!$B:$B,Summary!$C275)</f>
        <v>0</v>
      </c>
      <c r="K275" s="19">
        <f ca="1">SUMIFS(OFFSET('BPC Data'!$F:$F,0,Summary!K$2),'BPC Data'!$E:$E,Summary!$D275,'BPC Data'!$B:$B,Summary!$C275)</f>
        <v>0</v>
      </c>
      <c r="L275" s="183">
        <f ca="1">SUMIFS(OFFSET('BPC Data'!$F:$F,0,Summary!L$2),'BPC Data'!$E:$E,Summary!$D275,'BPC Data'!$B:$B,Summary!$C275)</f>
        <v>0</v>
      </c>
      <c r="M275" s="19">
        <f ca="1">SUMIFS(OFFSET('BPC Data'!$F:$F,0,Summary!M$2),'BPC Data'!$E:$E,Summary!$D275,'BPC Data'!$B:$B,Summary!$C275)</f>
        <v>0</v>
      </c>
      <c r="N275" s="183">
        <f ca="1">SUMIFS(OFFSET('BPC Data'!$F:$F,0,Summary!N$2),'BPC Data'!$E:$E,Summary!$D275,'BPC Data'!$B:$B,Summary!$C275)</f>
        <v>0</v>
      </c>
      <c r="O275" s="19">
        <f ca="1">SUMIFS(OFFSET('BPC Data'!$F:$F,0,Summary!O$2),'BPC Data'!$E:$E,Summary!$D275,'BPC Data'!$B:$B,Summary!$C275)</f>
        <v>0</v>
      </c>
      <c r="P275" s="183">
        <f ca="1">SUMIFS(OFFSET('BPC Data'!$F:$F,0,Summary!P$2),'BPC Data'!$E:$E,Summary!$D275,'BPC Data'!$B:$B,Summary!$C275)</f>
        <v>0</v>
      </c>
      <c r="Q275" s="19">
        <f ca="1">SUMIFS(OFFSET('BPC Data'!$F:$F,0,Summary!Q$2),'BPC Data'!$E:$E,Summary!$D275,'BPC Data'!$B:$B,Summary!$C275)</f>
        <v>0</v>
      </c>
      <c r="R275" s="183">
        <f ca="1">SUMIFS(OFFSET('BPC Data'!$F:$F,0,Summary!R$2),'BPC Data'!$E:$E,Summary!$D275,'BPC Data'!$B:$B,Summary!$C275)</f>
        <v>0</v>
      </c>
      <c r="S275" s="187">
        <f ca="1">R275</f>
        <v>0</v>
      </c>
      <c r="T275" s="181"/>
    </row>
    <row r="276" spans="1:20" s="17" customFormat="1" outlineLevel="1" x14ac:dyDescent="0.25">
      <c r="A276" s="17">
        <f t="shared" si="101"/>
        <v>25</v>
      </c>
      <c r="B276"/>
      <c r="C276" t="str">
        <f>$F273</f>
        <v>Gastonia Care and Rehabilitation</v>
      </c>
      <c r="D276" s="3" t="str">
        <f t="shared" si="82"/>
        <v>T_REVENUES - Total Tenant Revenues</v>
      </c>
      <c r="E276"/>
      <c r="F276" s="24" t="str">
        <f>_xll.EVDES(D276)</f>
        <v>Total Tenant Revenues</v>
      </c>
      <c r="G276" s="19">
        <f ca="1">SUMIFS(OFFSET('BPC Data'!$F:$F,0,Summary!G$2),'BPC Data'!$E:$E,Summary!$D276,'BPC Data'!$B:$B,Summary!$C276)</f>
        <v>0</v>
      </c>
      <c r="H276" s="183">
        <f ca="1">SUMIFS(OFFSET('BPC Data'!$F:$F,0,Summary!H$2),'BPC Data'!$E:$E,Summary!$D276,'BPC Data'!$B:$B,Summary!$C276)</f>
        <v>0</v>
      </c>
      <c r="I276" s="19">
        <f ca="1">SUMIFS(OFFSET('BPC Data'!$F:$F,0,Summary!I$2),'BPC Data'!$E:$E,Summary!$D276,'BPC Data'!$B:$B,Summary!$C276)</f>
        <v>0</v>
      </c>
      <c r="J276" s="183">
        <f ca="1">SUMIFS(OFFSET('BPC Data'!$F:$F,0,Summary!J$2),'BPC Data'!$E:$E,Summary!$D276,'BPC Data'!$B:$B,Summary!$C276)</f>
        <v>0</v>
      </c>
      <c r="K276" s="19">
        <f ca="1">SUMIFS(OFFSET('BPC Data'!$F:$F,0,Summary!K$2),'BPC Data'!$E:$E,Summary!$D276,'BPC Data'!$B:$B,Summary!$C276)</f>
        <v>0</v>
      </c>
      <c r="L276" s="183">
        <f ca="1">SUMIFS(OFFSET('BPC Data'!$F:$F,0,Summary!L$2),'BPC Data'!$E:$E,Summary!$D276,'BPC Data'!$B:$B,Summary!$C276)</f>
        <v>0</v>
      </c>
      <c r="M276" s="19">
        <f ca="1">SUMIFS(OFFSET('BPC Data'!$F:$F,0,Summary!M$2),'BPC Data'!$E:$E,Summary!$D276,'BPC Data'!$B:$B,Summary!$C276)</f>
        <v>0</v>
      </c>
      <c r="N276" s="183">
        <f ca="1">SUMIFS(OFFSET('BPC Data'!$F:$F,0,Summary!N$2),'BPC Data'!$E:$E,Summary!$D276,'BPC Data'!$B:$B,Summary!$C276)</f>
        <v>0</v>
      </c>
      <c r="O276" s="19">
        <f ca="1">SUMIFS(OFFSET('BPC Data'!$F:$F,0,Summary!O$2),'BPC Data'!$E:$E,Summary!$D276,'BPC Data'!$B:$B,Summary!$C276)</f>
        <v>0</v>
      </c>
      <c r="P276" s="183">
        <f ca="1">SUMIFS(OFFSET('BPC Data'!$F:$F,0,Summary!P$2),'BPC Data'!$E:$E,Summary!$D276,'BPC Data'!$B:$B,Summary!$C276)</f>
        <v>0</v>
      </c>
      <c r="Q276" s="19">
        <f ca="1">SUMIFS(OFFSET('BPC Data'!$F:$F,0,Summary!Q$2),'BPC Data'!$E:$E,Summary!$D276,'BPC Data'!$B:$B,Summary!$C276)</f>
        <v>0</v>
      </c>
      <c r="R276" s="183">
        <f ca="1">SUMIFS(OFFSET('BPC Data'!$F:$F,0,Summary!R$2),'BPC Data'!$E:$E,Summary!$D276,'BPC Data'!$B:$B,Summary!$C276)</f>
        <v>0</v>
      </c>
      <c r="S276" s="187">
        <f t="shared" ca="1" si="98"/>
        <v>0</v>
      </c>
      <c r="T276" s="181"/>
    </row>
    <row r="277" spans="1:20" s="17" customFormat="1" outlineLevel="1" x14ac:dyDescent="0.25">
      <c r="A277" s="17">
        <f t="shared" si="101"/>
        <v>25</v>
      </c>
      <c r="B277"/>
      <c r="C277" t="str">
        <f>$F273</f>
        <v>Gastonia Care and Rehabilitation</v>
      </c>
      <c r="D277" s="3" t="str">
        <f t="shared" si="82"/>
        <v>T_OPEX - Tenant Operating Expenses</v>
      </c>
      <c r="E277"/>
      <c r="F277" s="24" t="str">
        <f>_xll.EVDES(D277)</f>
        <v>Tenant Operating Expenses</v>
      </c>
      <c r="G277" s="19">
        <f ca="1">SUMIFS(OFFSET('BPC Data'!$F:$F,0,Summary!G$2),'BPC Data'!$E:$E,Summary!$D277,'BPC Data'!$B:$B,Summary!$C277)</f>
        <v>0</v>
      </c>
      <c r="H277" s="183">
        <f ca="1">SUMIFS(OFFSET('BPC Data'!$F:$F,0,Summary!H$2),'BPC Data'!$E:$E,Summary!$D277,'BPC Data'!$B:$B,Summary!$C277)</f>
        <v>0</v>
      </c>
      <c r="I277" s="19">
        <f ca="1">SUMIFS(OFFSET('BPC Data'!$F:$F,0,Summary!I$2),'BPC Data'!$E:$E,Summary!$D277,'BPC Data'!$B:$B,Summary!$C277)</f>
        <v>0</v>
      </c>
      <c r="J277" s="183">
        <f ca="1">SUMIFS(OFFSET('BPC Data'!$F:$F,0,Summary!J$2),'BPC Data'!$E:$E,Summary!$D277,'BPC Data'!$B:$B,Summary!$C277)</f>
        <v>0</v>
      </c>
      <c r="K277" s="19">
        <f ca="1">SUMIFS(OFFSET('BPC Data'!$F:$F,0,Summary!K$2),'BPC Data'!$E:$E,Summary!$D277,'BPC Data'!$B:$B,Summary!$C277)</f>
        <v>0</v>
      </c>
      <c r="L277" s="183">
        <f ca="1">SUMIFS(OFFSET('BPC Data'!$F:$F,0,Summary!L$2),'BPC Data'!$E:$E,Summary!$D277,'BPC Data'!$B:$B,Summary!$C277)</f>
        <v>0</v>
      </c>
      <c r="M277" s="19">
        <f ca="1">SUMIFS(OFFSET('BPC Data'!$F:$F,0,Summary!M$2),'BPC Data'!$E:$E,Summary!$D277,'BPC Data'!$B:$B,Summary!$C277)</f>
        <v>0</v>
      </c>
      <c r="N277" s="183">
        <f ca="1">SUMIFS(OFFSET('BPC Data'!$F:$F,0,Summary!N$2),'BPC Data'!$E:$E,Summary!$D277,'BPC Data'!$B:$B,Summary!$C277)</f>
        <v>0</v>
      </c>
      <c r="O277" s="19">
        <f ca="1">SUMIFS(OFFSET('BPC Data'!$F:$F,0,Summary!O$2),'BPC Data'!$E:$E,Summary!$D277,'BPC Data'!$B:$B,Summary!$C277)</f>
        <v>0</v>
      </c>
      <c r="P277" s="183">
        <f ca="1">SUMIFS(OFFSET('BPC Data'!$F:$F,0,Summary!P$2),'BPC Data'!$E:$E,Summary!$D277,'BPC Data'!$B:$B,Summary!$C277)</f>
        <v>0</v>
      </c>
      <c r="Q277" s="19">
        <f ca="1">SUMIFS(OFFSET('BPC Data'!$F:$F,0,Summary!Q$2),'BPC Data'!$E:$E,Summary!$D277,'BPC Data'!$B:$B,Summary!$C277)</f>
        <v>0</v>
      </c>
      <c r="R277" s="183">
        <f ca="1">SUMIFS(OFFSET('BPC Data'!$F:$F,0,Summary!R$2),'BPC Data'!$E:$E,Summary!$D277,'BPC Data'!$B:$B,Summary!$C277)</f>
        <v>0</v>
      </c>
      <c r="S277" s="187">
        <f t="shared" ca="1" si="98"/>
        <v>0</v>
      </c>
      <c r="T277" s="181"/>
    </row>
    <row r="278" spans="1:20" s="17" customFormat="1" outlineLevel="1" x14ac:dyDescent="0.25">
      <c r="A278" s="17">
        <f t="shared" si="101"/>
        <v>25</v>
      </c>
      <c r="B278"/>
      <c r="C278" t="str">
        <f>$F273</f>
        <v>Gastonia Care and Rehabilitation</v>
      </c>
      <c r="D278" s="3" t="str">
        <f t="shared" ref="D278:D341" si="102">$D267</f>
        <v>T_BAD_DEBT - Tenant Bad Debt Expense</v>
      </c>
      <c r="E278"/>
      <c r="F278" s="24" t="str">
        <f>_xll.EVDES(D278)</f>
        <v>Tenant Bad Debt Expense</v>
      </c>
      <c r="G278" s="19">
        <f ca="1">SUMIFS(OFFSET('BPC Data'!$F:$F,0,Summary!G$2),'BPC Data'!$E:$E,Summary!$D278,'BPC Data'!$B:$B,Summary!$C278)</f>
        <v>0</v>
      </c>
      <c r="H278" s="183">
        <f ca="1">SUMIFS(OFFSET('BPC Data'!$F:$F,0,Summary!H$2),'BPC Data'!$E:$E,Summary!$D278,'BPC Data'!$B:$B,Summary!$C278)</f>
        <v>0</v>
      </c>
      <c r="I278" s="19">
        <f ca="1">SUMIFS(OFFSET('BPC Data'!$F:$F,0,Summary!I$2),'BPC Data'!$E:$E,Summary!$D278,'BPC Data'!$B:$B,Summary!$C278)</f>
        <v>0</v>
      </c>
      <c r="J278" s="183">
        <f ca="1">SUMIFS(OFFSET('BPC Data'!$F:$F,0,Summary!J$2),'BPC Data'!$E:$E,Summary!$D278,'BPC Data'!$B:$B,Summary!$C278)</f>
        <v>0</v>
      </c>
      <c r="K278" s="19">
        <f ca="1">SUMIFS(OFFSET('BPC Data'!$F:$F,0,Summary!K$2),'BPC Data'!$E:$E,Summary!$D278,'BPC Data'!$B:$B,Summary!$C278)</f>
        <v>0</v>
      </c>
      <c r="L278" s="183">
        <f ca="1">SUMIFS(OFFSET('BPC Data'!$F:$F,0,Summary!L$2),'BPC Data'!$E:$E,Summary!$D278,'BPC Data'!$B:$B,Summary!$C278)</f>
        <v>0</v>
      </c>
      <c r="M278" s="19">
        <f ca="1">SUMIFS(OFFSET('BPC Data'!$F:$F,0,Summary!M$2),'BPC Data'!$E:$E,Summary!$D278,'BPC Data'!$B:$B,Summary!$C278)</f>
        <v>0</v>
      </c>
      <c r="N278" s="183">
        <f ca="1">SUMIFS(OFFSET('BPC Data'!$F:$F,0,Summary!N$2),'BPC Data'!$E:$E,Summary!$D278,'BPC Data'!$B:$B,Summary!$C278)</f>
        <v>0</v>
      </c>
      <c r="O278" s="19">
        <f ca="1">SUMIFS(OFFSET('BPC Data'!$F:$F,0,Summary!O$2),'BPC Data'!$E:$E,Summary!$D278,'BPC Data'!$B:$B,Summary!$C278)</f>
        <v>0</v>
      </c>
      <c r="P278" s="183">
        <f ca="1">SUMIFS(OFFSET('BPC Data'!$F:$F,0,Summary!P$2),'BPC Data'!$E:$E,Summary!$D278,'BPC Data'!$B:$B,Summary!$C278)</f>
        <v>0</v>
      </c>
      <c r="Q278" s="19">
        <f ca="1">SUMIFS(OFFSET('BPC Data'!$F:$F,0,Summary!Q$2),'BPC Data'!$E:$E,Summary!$D278,'BPC Data'!$B:$B,Summary!$C278)</f>
        <v>0</v>
      </c>
      <c r="R278" s="183">
        <f ca="1">SUMIFS(OFFSET('BPC Data'!$F:$F,0,Summary!R$2),'BPC Data'!$E:$E,Summary!$D278,'BPC Data'!$B:$B,Summary!$C278)</f>
        <v>0</v>
      </c>
      <c r="S278" s="187">
        <f t="shared" ca="1" si="98"/>
        <v>0</v>
      </c>
      <c r="T278" s="181"/>
    </row>
    <row r="279" spans="1:20" s="17" customFormat="1" outlineLevel="1" x14ac:dyDescent="0.25">
      <c r="A279" s="17">
        <f t="shared" si="101"/>
        <v>25</v>
      </c>
      <c r="B279"/>
      <c r="C279" t="str">
        <f>$F273</f>
        <v>Gastonia Care and Rehabilitation</v>
      </c>
      <c r="D279" s="2" t="str">
        <f t="shared" si="102"/>
        <v>T_EBITDARM - EBITDARM</v>
      </c>
      <c r="E279"/>
      <c r="F279" s="24" t="str">
        <f>_xll.EVDES(D279)</f>
        <v>EBITDARM</v>
      </c>
      <c r="G279" s="19">
        <f ca="1">SUMIFS(OFFSET('BPC Data'!$F:$F,0,Summary!G$2),'BPC Data'!$E:$E,Summary!$D279,'BPC Data'!$B:$B,Summary!$C279)</f>
        <v>0</v>
      </c>
      <c r="H279" s="183">
        <f ca="1">SUMIFS(OFFSET('BPC Data'!$F:$F,0,Summary!H$2),'BPC Data'!$E:$E,Summary!$D279,'BPC Data'!$B:$B,Summary!$C279)</f>
        <v>0</v>
      </c>
      <c r="I279" s="19">
        <f ca="1">SUMIFS(OFFSET('BPC Data'!$F:$F,0,Summary!I$2),'BPC Data'!$E:$E,Summary!$D279,'BPC Data'!$B:$B,Summary!$C279)</f>
        <v>0</v>
      </c>
      <c r="J279" s="183">
        <f ca="1">SUMIFS(OFFSET('BPC Data'!$F:$F,0,Summary!J$2),'BPC Data'!$E:$E,Summary!$D279,'BPC Data'!$B:$B,Summary!$C279)</f>
        <v>0</v>
      </c>
      <c r="K279" s="19">
        <f ca="1">SUMIFS(OFFSET('BPC Data'!$F:$F,0,Summary!K$2),'BPC Data'!$E:$E,Summary!$D279,'BPC Data'!$B:$B,Summary!$C279)</f>
        <v>0</v>
      </c>
      <c r="L279" s="183">
        <f ca="1">SUMIFS(OFFSET('BPC Data'!$F:$F,0,Summary!L$2),'BPC Data'!$E:$E,Summary!$D279,'BPC Data'!$B:$B,Summary!$C279)</f>
        <v>0</v>
      </c>
      <c r="M279" s="19">
        <f ca="1">SUMIFS(OFFSET('BPC Data'!$F:$F,0,Summary!M$2),'BPC Data'!$E:$E,Summary!$D279,'BPC Data'!$B:$B,Summary!$C279)</f>
        <v>0</v>
      </c>
      <c r="N279" s="183">
        <f ca="1">SUMIFS(OFFSET('BPC Data'!$F:$F,0,Summary!N$2),'BPC Data'!$E:$E,Summary!$D279,'BPC Data'!$B:$B,Summary!$C279)</f>
        <v>0</v>
      </c>
      <c r="O279" s="19">
        <f ca="1">SUMIFS(OFFSET('BPC Data'!$F:$F,0,Summary!O$2),'BPC Data'!$E:$E,Summary!$D279,'BPC Data'!$B:$B,Summary!$C279)</f>
        <v>0</v>
      </c>
      <c r="P279" s="183">
        <f ca="1">SUMIFS(OFFSET('BPC Data'!$F:$F,0,Summary!P$2),'BPC Data'!$E:$E,Summary!$D279,'BPC Data'!$B:$B,Summary!$C279)</f>
        <v>0</v>
      </c>
      <c r="Q279" s="19">
        <f ca="1">SUMIFS(OFFSET('BPC Data'!$F:$F,0,Summary!Q$2),'BPC Data'!$E:$E,Summary!$D279,'BPC Data'!$B:$B,Summary!$C279)</f>
        <v>0</v>
      </c>
      <c r="R279" s="183">
        <f ca="1">SUMIFS(OFFSET('BPC Data'!$F:$F,0,Summary!R$2),'BPC Data'!$E:$E,Summary!$D279,'BPC Data'!$B:$B,Summary!$C279)</f>
        <v>0</v>
      </c>
      <c r="S279" s="187">
        <f t="shared" ca="1" si="98"/>
        <v>0</v>
      </c>
      <c r="T279" s="181"/>
    </row>
    <row r="280" spans="1:20" s="17" customFormat="1" outlineLevel="1" x14ac:dyDescent="0.25">
      <c r="A280" s="17">
        <f t="shared" si="101"/>
        <v>25</v>
      </c>
      <c r="B280"/>
      <c r="C280" t="str">
        <f>$F273</f>
        <v>Gastonia Care and Rehabilitation</v>
      </c>
      <c r="D280" s="2" t="str">
        <f t="shared" si="102"/>
        <v>T_MGMT_FEE - Tenant Management Fee - Actual</v>
      </c>
      <c r="E280"/>
      <c r="F280" s="24" t="str">
        <f>_xll.EVDES(D280)</f>
        <v>Tenant Management Fee - Actual</v>
      </c>
      <c r="G280" s="19">
        <f ca="1">SUMIFS(OFFSET('BPC Data'!$F:$F,0,Summary!G$2),'BPC Data'!$E:$E,Summary!$D280,'BPC Data'!$B:$B,Summary!$C280)</f>
        <v>0</v>
      </c>
      <c r="H280" s="183">
        <f ca="1">SUMIFS(OFFSET('BPC Data'!$F:$F,0,Summary!H$2),'BPC Data'!$E:$E,Summary!$D280,'BPC Data'!$B:$B,Summary!$C280)</f>
        <v>0</v>
      </c>
      <c r="I280" s="19">
        <f ca="1">SUMIFS(OFFSET('BPC Data'!$F:$F,0,Summary!I$2),'BPC Data'!$E:$E,Summary!$D280,'BPC Data'!$B:$B,Summary!$C280)</f>
        <v>0</v>
      </c>
      <c r="J280" s="183">
        <f ca="1">SUMIFS(OFFSET('BPC Data'!$F:$F,0,Summary!J$2),'BPC Data'!$E:$E,Summary!$D280,'BPC Data'!$B:$B,Summary!$C280)</f>
        <v>0</v>
      </c>
      <c r="K280" s="19">
        <f ca="1">SUMIFS(OFFSET('BPC Data'!$F:$F,0,Summary!K$2),'BPC Data'!$E:$E,Summary!$D280,'BPC Data'!$B:$B,Summary!$C280)</f>
        <v>0</v>
      </c>
      <c r="L280" s="183">
        <f ca="1">SUMIFS(OFFSET('BPC Data'!$F:$F,0,Summary!L$2),'BPC Data'!$E:$E,Summary!$D280,'BPC Data'!$B:$B,Summary!$C280)</f>
        <v>0</v>
      </c>
      <c r="M280" s="19">
        <f ca="1">SUMIFS(OFFSET('BPC Data'!$F:$F,0,Summary!M$2),'BPC Data'!$E:$E,Summary!$D280,'BPC Data'!$B:$B,Summary!$C280)</f>
        <v>0</v>
      </c>
      <c r="N280" s="183">
        <f ca="1">SUMIFS(OFFSET('BPC Data'!$F:$F,0,Summary!N$2),'BPC Data'!$E:$E,Summary!$D280,'BPC Data'!$B:$B,Summary!$C280)</f>
        <v>0</v>
      </c>
      <c r="O280" s="19">
        <f ca="1">SUMIFS(OFFSET('BPC Data'!$F:$F,0,Summary!O$2),'BPC Data'!$E:$E,Summary!$D280,'BPC Data'!$B:$B,Summary!$C280)</f>
        <v>0</v>
      </c>
      <c r="P280" s="183">
        <f ca="1">SUMIFS(OFFSET('BPC Data'!$F:$F,0,Summary!P$2),'BPC Data'!$E:$E,Summary!$D280,'BPC Data'!$B:$B,Summary!$C280)</f>
        <v>0</v>
      </c>
      <c r="Q280" s="19">
        <f ca="1">SUMIFS(OFFSET('BPC Data'!$F:$F,0,Summary!Q$2),'BPC Data'!$E:$E,Summary!$D280,'BPC Data'!$B:$B,Summary!$C280)</f>
        <v>0</v>
      </c>
      <c r="R280" s="183">
        <f ca="1">SUMIFS(OFFSET('BPC Data'!$F:$F,0,Summary!R$2),'BPC Data'!$E:$E,Summary!$D280,'BPC Data'!$B:$B,Summary!$C280)</f>
        <v>0</v>
      </c>
      <c r="S280" s="187">
        <f t="shared" ca="1" si="98"/>
        <v>0</v>
      </c>
      <c r="T280" s="181"/>
    </row>
    <row r="281" spans="1:20" s="17" customFormat="1" outlineLevel="1" x14ac:dyDescent="0.25">
      <c r="A281" s="17">
        <f t="shared" si="101"/>
        <v>25</v>
      </c>
      <c r="B281"/>
      <c r="C281" t="str">
        <f>$F273</f>
        <v>Gastonia Care and Rehabilitation</v>
      </c>
      <c r="D281" s="1" t="str">
        <f t="shared" si="102"/>
        <v>T_EBITDAR - EBITDAR</v>
      </c>
      <c r="E281"/>
      <c r="F281" s="24" t="str">
        <f>_xll.EVDES(D281)</f>
        <v>EBITDAR</v>
      </c>
      <c r="G281" s="19">
        <f ca="1">SUMIFS(OFFSET('BPC Data'!$F:$F,0,Summary!G$2),'BPC Data'!$E:$E,Summary!$D281,'BPC Data'!$B:$B,Summary!$C281)</f>
        <v>0</v>
      </c>
      <c r="H281" s="183">
        <f ca="1">SUMIFS(OFFSET('BPC Data'!$F:$F,0,Summary!H$2),'BPC Data'!$E:$E,Summary!$D281,'BPC Data'!$B:$B,Summary!$C281)</f>
        <v>0</v>
      </c>
      <c r="I281" s="19">
        <f ca="1">SUMIFS(OFFSET('BPC Data'!$F:$F,0,Summary!I$2),'BPC Data'!$E:$E,Summary!$D281,'BPC Data'!$B:$B,Summary!$C281)</f>
        <v>0</v>
      </c>
      <c r="J281" s="183">
        <f ca="1">SUMIFS(OFFSET('BPC Data'!$F:$F,0,Summary!J$2),'BPC Data'!$E:$E,Summary!$D281,'BPC Data'!$B:$B,Summary!$C281)</f>
        <v>0</v>
      </c>
      <c r="K281" s="19">
        <f ca="1">SUMIFS(OFFSET('BPC Data'!$F:$F,0,Summary!K$2),'BPC Data'!$E:$E,Summary!$D281,'BPC Data'!$B:$B,Summary!$C281)</f>
        <v>0</v>
      </c>
      <c r="L281" s="183">
        <f ca="1">SUMIFS(OFFSET('BPC Data'!$F:$F,0,Summary!L$2),'BPC Data'!$E:$E,Summary!$D281,'BPC Data'!$B:$B,Summary!$C281)</f>
        <v>0</v>
      </c>
      <c r="M281" s="19">
        <f ca="1">SUMIFS(OFFSET('BPC Data'!$F:$F,0,Summary!M$2),'BPC Data'!$E:$E,Summary!$D281,'BPC Data'!$B:$B,Summary!$C281)</f>
        <v>0</v>
      </c>
      <c r="N281" s="183">
        <f ca="1">SUMIFS(OFFSET('BPC Data'!$F:$F,0,Summary!N$2),'BPC Data'!$E:$E,Summary!$D281,'BPC Data'!$B:$B,Summary!$C281)</f>
        <v>0</v>
      </c>
      <c r="O281" s="19">
        <f ca="1">SUMIFS(OFFSET('BPC Data'!$F:$F,0,Summary!O$2),'BPC Data'!$E:$E,Summary!$D281,'BPC Data'!$B:$B,Summary!$C281)</f>
        <v>0</v>
      </c>
      <c r="P281" s="183">
        <f ca="1">SUMIFS(OFFSET('BPC Data'!$F:$F,0,Summary!P$2),'BPC Data'!$E:$E,Summary!$D281,'BPC Data'!$B:$B,Summary!$C281)</f>
        <v>0</v>
      </c>
      <c r="Q281" s="19">
        <f ca="1">SUMIFS(OFFSET('BPC Data'!$F:$F,0,Summary!Q$2),'BPC Data'!$E:$E,Summary!$D281,'BPC Data'!$B:$B,Summary!$C281)</f>
        <v>0</v>
      </c>
      <c r="R281" s="183">
        <f ca="1">SUMIFS(OFFSET('BPC Data'!$F:$F,0,Summary!R$2),'BPC Data'!$E:$E,Summary!$D281,'BPC Data'!$B:$B,Summary!$C281)</f>
        <v>0</v>
      </c>
      <c r="S281" s="187">
        <f t="shared" ca="1" si="98"/>
        <v>0</v>
      </c>
      <c r="T281" s="181"/>
    </row>
    <row r="282" spans="1:20" s="17" customFormat="1" outlineLevel="1" x14ac:dyDescent="0.25">
      <c r="A282" s="17">
        <f t="shared" si="101"/>
        <v>25</v>
      </c>
      <c r="B282"/>
      <c r="C282" t="str">
        <f>$F273</f>
        <v>Gastonia Care and Rehabilitation</v>
      </c>
      <c r="D282" s="1" t="str">
        <f t="shared" si="102"/>
        <v>T_RENT_EXP - Tenant Rent Expense</v>
      </c>
      <c r="E282"/>
      <c r="F282" s="24" t="str">
        <f>_xll.EVDES(D282)</f>
        <v>Tenant Rent Expense</v>
      </c>
      <c r="G282" s="19">
        <f ca="1">SUMIFS(OFFSET('BPC Data'!$F:$F,0,Summary!G$2),'BPC Data'!$E:$E,Summary!$D282,'BPC Data'!$B:$B,Summary!$C282)</f>
        <v>0</v>
      </c>
      <c r="H282" s="183">
        <f ca="1">SUMIFS(OFFSET('BPC Data'!$F:$F,0,Summary!H$2),'BPC Data'!$E:$E,Summary!$D282,'BPC Data'!$B:$B,Summary!$C282)</f>
        <v>0</v>
      </c>
      <c r="I282" s="19">
        <f ca="1">SUMIFS(OFFSET('BPC Data'!$F:$F,0,Summary!I$2),'BPC Data'!$E:$E,Summary!$D282,'BPC Data'!$B:$B,Summary!$C282)</f>
        <v>0</v>
      </c>
      <c r="J282" s="183">
        <f ca="1">SUMIFS(OFFSET('BPC Data'!$F:$F,0,Summary!J$2),'BPC Data'!$E:$E,Summary!$D282,'BPC Data'!$B:$B,Summary!$C282)</f>
        <v>0</v>
      </c>
      <c r="K282" s="19">
        <f ca="1">SUMIFS(OFFSET('BPC Data'!$F:$F,0,Summary!K$2),'BPC Data'!$E:$E,Summary!$D282,'BPC Data'!$B:$B,Summary!$C282)</f>
        <v>0</v>
      </c>
      <c r="L282" s="183">
        <f ca="1">SUMIFS(OFFSET('BPC Data'!$F:$F,0,Summary!L$2),'BPC Data'!$E:$E,Summary!$D282,'BPC Data'!$B:$B,Summary!$C282)</f>
        <v>0</v>
      </c>
      <c r="M282" s="19">
        <f ca="1">SUMIFS(OFFSET('BPC Data'!$F:$F,0,Summary!M$2),'BPC Data'!$E:$E,Summary!$D282,'BPC Data'!$B:$B,Summary!$C282)</f>
        <v>0</v>
      </c>
      <c r="N282" s="183">
        <f ca="1">SUMIFS(OFFSET('BPC Data'!$F:$F,0,Summary!N$2),'BPC Data'!$E:$E,Summary!$D282,'BPC Data'!$B:$B,Summary!$C282)</f>
        <v>0</v>
      </c>
      <c r="O282" s="19">
        <f ca="1">SUMIFS(OFFSET('BPC Data'!$F:$F,0,Summary!O$2),'BPC Data'!$E:$E,Summary!$D282,'BPC Data'!$B:$B,Summary!$C282)</f>
        <v>0</v>
      </c>
      <c r="P282" s="183">
        <f ca="1">SUMIFS(OFFSET('BPC Data'!$F:$F,0,Summary!P$2),'BPC Data'!$E:$E,Summary!$D282,'BPC Data'!$B:$B,Summary!$C282)</f>
        <v>0</v>
      </c>
      <c r="Q282" s="19">
        <f ca="1">SUMIFS(OFFSET('BPC Data'!$F:$F,0,Summary!Q$2),'BPC Data'!$E:$E,Summary!$D282,'BPC Data'!$B:$B,Summary!$C282)</f>
        <v>0</v>
      </c>
      <c r="R282" s="183">
        <f ca="1">SUMIFS(OFFSET('BPC Data'!$F:$F,0,Summary!R$2),'BPC Data'!$E:$E,Summary!$D282,'BPC Data'!$B:$B,Summary!$C282)</f>
        <v>0</v>
      </c>
      <c r="S282" s="187">
        <f t="shared" ca="1" si="98"/>
        <v>0</v>
      </c>
      <c r="T282" s="181"/>
    </row>
    <row r="283" spans="1:20" s="17" customFormat="1" outlineLevel="1" x14ac:dyDescent="0.25">
      <c r="A283" s="17">
        <f t="shared" si="101"/>
        <v>25</v>
      </c>
      <c r="B283"/>
      <c r="C283"/>
      <c r="D283" s="1" t="str">
        <f t="shared" si="102"/>
        <v>x</v>
      </c>
      <c r="E283"/>
      <c r="F283" s="24" t="s">
        <v>0</v>
      </c>
      <c r="G283" s="12" t="e">
        <f ca="1">G281/G282</f>
        <v>#DIV/0!</v>
      </c>
      <c r="H283" s="184" t="e">
        <f t="shared" ref="H283:I283" ca="1" si="103">H281/H282</f>
        <v>#DIV/0!</v>
      </c>
      <c r="I283" s="12" t="e">
        <f t="shared" ca="1" si="103"/>
        <v>#DIV/0!</v>
      </c>
      <c r="J283" s="184" t="e">
        <f t="shared" ref="J283:R283" ca="1" si="104">J281/J282</f>
        <v>#DIV/0!</v>
      </c>
      <c r="K283" s="12" t="e">
        <f t="shared" ca="1" si="104"/>
        <v>#DIV/0!</v>
      </c>
      <c r="L283" s="184" t="e">
        <f t="shared" ca="1" si="104"/>
        <v>#DIV/0!</v>
      </c>
      <c r="M283" s="12" t="e">
        <f t="shared" ca="1" si="104"/>
        <v>#DIV/0!</v>
      </c>
      <c r="N283" s="184" t="e">
        <f t="shared" ca="1" si="104"/>
        <v>#DIV/0!</v>
      </c>
      <c r="O283" s="12" t="e">
        <f t="shared" ca="1" si="104"/>
        <v>#DIV/0!</v>
      </c>
      <c r="P283" s="184" t="e">
        <f t="shared" ca="1" si="104"/>
        <v>#DIV/0!</v>
      </c>
      <c r="Q283" s="12" t="e">
        <f t="shared" ca="1" si="104"/>
        <v>#DIV/0!</v>
      </c>
      <c r="R283" s="184" t="e">
        <f t="shared" ca="1" si="104"/>
        <v>#DIV/0!</v>
      </c>
      <c r="S283" s="187" t="e">
        <f t="shared" ca="1" si="98"/>
        <v>#DIV/0!</v>
      </c>
      <c r="T283" s="181"/>
    </row>
    <row r="284" spans="1:20" s="17" customFormat="1" outlineLevel="1" x14ac:dyDescent="0.25">
      <c r="A284" s="17">
        <f>IF(AND(D284&lt;&gt;"",C284=""),A283+1,A283)</f>
        <v>26</v>
      </c>
      <c r="B284" s="5"/>
      <c r="C284" s="5"/>
      <c r="D284" s="5" t="str">
        <f t="shared" si="102"/>
        <v>x</v>
      </c>
      <c r="E284" s="5"/>
      <c r="F284" s="23" t="str">
        <f>INDEX(PropertyList!$D:$D,MATCH(Summary!$A284,PropertyList!$C:$C,0))</f>
        <v>SHC of Chapel Hill</v>
      </c>
      <c r="G284" s="11"/>
      <c r="H284" s="182"/>
      <c r="I284" s="11"/>
      <c r="J284" s="182"/>
      <c r="K284" s="11"/>
      <c r="L284" s="182"/>
      <c r="M284" s="11"/>
      <c r="N284" s="182"/>
      <c r="O284" s="11"/>
      <c r="P284" s="182"/>
      <c r="Q284" s="11"/>
      <c r="R284" s="182"/>
      <c r="S284" s="187">
        <f t="shared" si="98"/>
        <v>0</v>
      </c>
      <c r="T284" s="181"/>
    </row>
    <row r="285" spans="1:20" s="17" customFormat="1" outlineLevel="1" x14ac:dyDescent="0.25">
      <c r="A285" s="17">
        <f>IF(AND(F285&lt;&gt;"",D285=""),A284+1,A284)</f>
        <v>26</v>
      </c>
      <c r="C285" t="str">
        <f>$F284</f>
        <v>SHC of Chapel Hill</v>
      </c>
      <c r="D285" s="3" t="str">
        <f t="shared" si="102"/>
        <v>PAY_PAT_DAYS - Total Payor Patient Days</v>
      </c>
      <c r="F285" s="24" t="str">
        <f>_xll.EVDES(D285)</f>
        <v>Total Payor Patient Days</v>
      </c>
      <c r="G285" s="19">
        <f ca="1">SUMIFS(OFFSET('BPC Data'!$F:$F,0,Summary!G$2),'BPC Data'!$E:$E,Summary!$D285,'BPC Data'!$B:$B,Summary!$C285)</f>
        <v>2059</v>
      </c>
      <c r="H285" s="183">
        <f ca="1">SUMIFS(OFFSET('BPC Data'!$F:$F,0,Summary!H$2),'BPC Data'!$E:$E,Summary!$D285,'BPC Data'!$B:$B,Summary!$C285)</f>
        <v>2391</v>
      </c>
      <c r="I285" s="19">
        <f ca="1">SUMIFS(OFFSET('BPC Data'!$F:$F,0,Summary!I$2),'BPC Data'!$E:$E,Summary!$D285,'BPC Data'!$B:$B,Summary!$C285)</f>
        <v>2360</v>
      </c>
      <c r="J285" s="183">
        <f ca="1">SUMIFS(OFFSET('BPC Data'!$F:$F,0,Summary!J$2),'BPC Data'!$E:$E,Summary!$D285,'BPC Data'!$B:$B,Summary!$C285)</f>
        <v>2402</v>
      </c>
      <c r="K285" s="19">
        <f ca="1">SUMIFS(OFFSET('BPC Data'!$F:$F,0,Summary!K$2),'BPC Data'!$E:$E,Summary!$D285,'BPC Data'!$B:$B,Summary!$C285)</f>
        <v>2374</v>
      </c>
      <c r="L285" s="183">
        <f ca="1">SUMIFS(OFFSET('BPC Data'!$F:$F,0,Summary!L$2),'BPC Data'!$E:$E,Summary!$D285,'BPC Data'!$B:$B,Summary!$C285)</f>
        <v>2098</v>
      </c>
      <c r="M285" s="19">
        <f ca="1">SUMIFS(OFFSET('BPC Data'!$F:$F,0,Summary!M$2),'BPC Data'!$E:$E,Summary!$D285,'BPC Data'!$B:$B,Summary!$C285)</f>
        <v>2175</v>
      </c>
      <c r="N285" s="183">
        <f ca="1">SUMIFS(OFFSET('BPC Data'!$F:$F,0,Summary!N$2),'BPC Data'!$E:$E,Summary!$D285,'BPC Data'!$B:$B,Summary!$C285)</f>
        <v>2347</v>
      </c>
      <c r="O285" s="19">
        <f ca="1">SUMIFS(OFFSET('BPC Data'!$F:$F,0,Summary!O$2),'BPC Data'!$E:$E,Summary!$D285,'BPC Data'!$B:$B,Summary!$C285)</f>
        <v>2521</v>
      </c>
      <c r="P285" s="183">
        <f ca="1">SUMIFS(OFFSET('BPC Data'!$F:$F,0,Summary!P$2),'BPC Data'!$E:$E,Summary!$D285,'BPC Data'!$B:$B,Summary!$C285)</f>
        <v>2468</v>
      </c>
      <c r="Q285" s="19">
        <f ca="1">SUMIFS(OFFSET('BPC Data'!$F:$F,0,Summary!Q$2),'BPC Data'!$E:$E,Summary!$D285,'BPC Data'!$B:$B,Summary!$C285)</f>
        <v>2663</v>
      </c>
      <c r="R285" s="183">
        <f ca="1">SUMIFS(OFFSET('BPC Data'!$F:$F,0,Summary!R$2),'BPC Data'!$E:$E,Summary!$D285,'BPC Data'!$B:$B,Summary!$C285)</f>
        <v>2636</v>
      </c>
      <c r="S285" s="187">
        <f t="shared" ca="1" si="98"/>
        <v>28494</v>
      </c>
      <c r="T285" s="181"/>
    </row>
    <row r="286" spans="1:20" s="17" customFormat="1" outlineLevel="1" x14ac:dyDescent="0.25">
      <c r="A286" s="17">
        <f t="shared" ref="A286:A294" si="105">IF(AND(F286&lt;&gt;"",D286=""),A285+1,A285)</f>
        <v>26</v>
      </c>
      <c r="C286" t="str">
        <f>$F284</f>
        <v>SHC of Chapel Hill</v>
      </c>
      <c r="D286" s="3" t="str">
        <f t="shared" si="102"/>
        <v>A_BEDS_TOTAL - Total Available Beds</v>
      </c>
      <c r="F286" s="24" t="str">
        <f>_xll.EVDES(D286)</f>
        <v>Total Available Beds</v>
      </c>
      <c r="G286" s="19">
        <f ca="1">SUMIFS(OFFSET('BPC Data'!$F:$F,0,Summary!G$2),'BPC Data'!$E:$E,Summary!$D286,'BPC Data'!$B:$B,Summary!$C286)</f>
        <v>108</v>
      </c>
      <c r="H286" s="183">
        <f ca="1">SUMIFS(OFFSET('BPC Data'!$F:$F,0,Summary!H$2),'BPC Data'!$E:$E,Summary!$D286,'BPC Data'!$B:$B,Summary!$C286)</f>
        <v>108</v>
      </c>
      <c r="I286" s="19">
        <f ca="1">SUMIFS(OFFSET('BPC Data'!$F:$F,0,Summary!I$2),'BPC Data'!$E:$E,Summary!$D286,'BPC Data'!$B:$B,Summary!$C286)</f>
        <v>108</v>
      </c>
      <c r="J286" s="183">
        <f ca="1">SUMIFS(OFFSET('BPC Data'!$F:$F,0,Summary!J$2),'BPC Data'!$E:$E,Summary!$D286,'BPC Data'!$B:$B,Summary!$C286)</f>
        <v>108</v>
      </c>
      <c r="K286" s="19">
        <f ca="1">SUMIFS(OFFSET('BPC Data'!$F:$F,0,Summary!K$2),'BPC Data'!$E:$E,Summary!$D286,'BPC Data'!$B:$B,Summary!$C286)</f>
        <v>108</v>
      </c>
      <c r="L286" s="183">
        <f ca="1">SUMIFS(OFFSET('BPC Data'!$F:$F,0,Summary!L$2),'BPC Data'!$E:$E,Summary!$D286,'BPC Data'!$B:$B,Summary!$C286)</f>
        <v>108</v>
      </c>
      <c r="M286" s="19">
        <f ca="1">SUMIFS(OFFSET('BPC Data'!$F:$F,0,Summary!M$2),'BPC Data'!$E:$E,Summary!$D286,'BPC Data'!$B:$B,Summary!$C286)</f>
        <v>108</v>
      </c>
      <c r="N286" s="183">
        <f ca="1">SUMIFS(OFFSET('BPC Data'!$F:$F,0,Summary!N$2),'BPC Data'!$E:$E,Summary!$D286,'BPC Data'!$B:$B,Summary!$C286)</f>
        <v>108</v>
      </c>
      <c r="O286" s="19">
        <f ca="1">SUMIFS(OFFSET('BPC Data'!$F:$F,0,Summary!O$2),'BPC Data'!$E:$E,Summary!$D286,'BPC Data'!$B:$B,Summary!$C286)</f>
        <v>108</v>
      </c>
      <c r="P286" s="183">
        <f ca="1">SUMIFS(OFFSET('BPC Data'!$F:$F,0,Summary!P$2),'BPC Data'!$E:$E,Summary!$D286,'BPC Data'!$B:$B,Summary!$C286)</f>
        <v>108</v>
      </c>
      <c r="Q286" s="19">
        <f ca="1">SUMIFS(OFFSET('BPC Data'!$F:$F,0,Summary!Q$2),'BPC Data'!$E:$E,Summary!$D286,'BPC Data'!$B:$B,Summary!$C286)</f>
        <v>108</v>
      </c>
      <c r="R286" s="183">
        <f ca="1">SUMIFS(OFFSET('BPC Data'!$F:$F,0,Summary!R$2),'BPC Data'!$E:$E,Summary!$D286,'BPC Data'!$B:$B,Summary!$C286)</f>
        <v>108</v>
      </c>
      <c r="S286" s="187">
        <f ca="1">R286</f>
        <v>108</v>
      </c>
      <c r="T286" s="181"/>
    </row>
    <row r="287" spans="1:20" s="17" customFormat="1" outlineLevel="1" x14ac:dyDescent="0.25">
      <c r="A287" s="17">
        <f t="shared" si="105"/>
        <v>26</v>
      </c>
      <c r="B287"/>
      <c r="C287" t="str">
        <f>$F284</f>
        <v>SHC of Chapel Hill</v>
      </c>
      <c r="D287" s="3" t="str">
        <f t="shared" si="102"/>
        <v>T_REVENUES - Total Tenant Revenues</v>
      </c>
      <c r="E287"/>
      <c r="F287" s="24" t="str">
        <f>_xll.EVDES(D287)</f>
        <v>Total Tenant Revenues</v>
      </c>
      <c r="G287" s="19">
        <f ca="1">SUMIFS(OFFSET('BPC Data'!$F:$F,0,Summary!G$2),'BPC Data'!$E:$E,Summary!$D287,'BPC Data'!$B:$B,Summary!$C287)</f>
        <v>714237</v>
      </c>
      <c r="H287" s="183">
        <f ca="1">SUMIFS(OFFSET('BPC Data'!$F:$F,0,Summary!H$2),'BPC Data'!$E:$E,Summary!$D287,'BPC Data'!$B:$B,Summary!$C287)</f>
        <v>894793</v>
      </c>
      <c r="I287" s="19">
        <f ca="1">SUMIFS(OFFSET('BPC Data'!$F:$F,0,Summary!I$2),'BPC Data'!$E:$E,Summary!$D287,'BPC Data'!$B:$B,Summary!$C287)</f>
        <v>864974</v>
      </c>
      <c r="J287" s="183">
        <f ca="1">SUMIFS(OFFSET('BPC Data'!$F:$F,0,Summary!J$2),'BPC Data'!$E:$E,Summary!$D287,'BPC Data'!$B:$B,Summary!$C287)</f>
        <v>588942</v>
      </c>
      <c r="K287" s="19">
        <f ca="1">SUMIFS(OFFSET('BPC Data'!$F:$F,0,Summary!K$2),'BPC Data'!$E:$E,Summary!$D287,'BPC Data'!$B:$B,Summary!$C287)</f>
        <v>904392</v>
      </c>
      <c r="L287" s="183">
        <f ca="1">SUMIFS(OFFSET('BPC Data'!$F:$F,0,Summary!L$2),'BPC Data'!$E:$E,Summary!$D287,'BPC Data'!$B:$B,Summary!$C287)</f>
        <v>769952</v>
      </c>
      <c r="M287" s="19">
        <f ca="1">SUMIFS(OFFSET('BPC Data'!$F:$F,0,Summary!M$2),'BPC Data'!$E:$E,Summary!$D287,'BPC Data'!$B:$B,Summary!$C287)</f>
        <v>756874</v>
      </c>
      <c r="N287" s="183">
        <f ca="1">SUMIFS(OFFSET('BPC Data'!$F:$F,0,Summary!N$2),'BPC Data'!$E:$E,Summary!$D287,'BPC Data'!$B:$B,Summary!$C287)</f>
        <v>699072</v>
      </c>
      <c r="O287" s="19">
        <f ca="1">SUMIFS(OFFSET('BPC Data'!$F:$F,0,Summary!O$2),'BPC Data'!$E:$E,Summary!$D287,'BPC Data'!$B:$B,Summary!$C287)</f>
        <v>986805</v>
      </c>
      <c r="P287" s="183">
        <f ca="1">SUMIFS(OFFSET('BPC Data'!$F:$F,0,Summary!P$2),'BPC Data'!$E:$E,Summary!$D287,'BPC Data'!$B:$B,Summary!$C287)</f>
        <v>882659</v>
      </c>
      <c r="Q287" s="19">
        <f ca="1">SUMIFS(OFFSET('BPC Data'!$F:$F,0,Summary!Q$2),'BPC Data'!$E:$E,Summary!$D287,'BPC Data'!$B:$B,Summary!$C287)</f>
        <v>933343</v>
      </c>
      <c r="R287" s="183">
        <f ca="1">SUMIFS(OFFSET('BPC Data'!$F:$F,0,Summary!R$2),'BPC Data'!$E:$E,Summary!$D287,'BPC Data'!$B:$B,Summary!$C287)</f>
        <v>996016</v>
      </c>
      <c r="S287" s="187">
        <f t="shared" ca="1" si="98"/>
        <v>9992059</v>
      </c>
      <c r="T287" s="181"/>
    </row>
    <row r="288" spans="1:20" s="17" customFormat="1" outlineLevel="1" x14ac:dyDescent="0.25">
      <c r="A288" s="17">
        <f t="shared" si="105"/>
        <v>26</v>
      </c>
      <c r="B288"/>
      <c r="C288" t="str">
        <f>$F284</f>
        <v>SHC of Chapel Hill</v>
      </c>
      <c r="D288" s="3" t="str">
        <f t="shared" si="102"/>
        <v>T_OPEX - Tenant Operating Expenses</v>
      </c>
      <c r="E288"/>
      <c r="F288" s="24" t="str">
        <f>_xll.EVDES(D288)</f>
        <v>Tenant Operating Expenses</v>
      </c>
      <c r="G288" s="19">
        <f ca="1">SUMIFS(OFFSET('BPC Data'!$F:$F,0,Summary!G$2),'BPC Data'!$E:$E,Summary!$D288,'BPC Data'!$B:$B,Summary!$C288)</f>
        <v>625506</v>
      </c>
      <c r="H288" s="183">
        <f ca="1">SUMIFS(OFFSET('BPC Data'!$F:$F,0,Summary!H$2),'BPC Data'!$E:$E,Summary!$D288,'BPC Data'!$B:$B,Summary!$C288)</f>
        <v>733345</v>
      </c>
      <c r="I288" s="19">
        <f ca="1">SUMIFS(OFFSET('BPC Data'!$F:$F,0,Summary!I$2),'BPC Data'!$E:$E,Summary!$D288,'BPC Data'!$B:$B,Summary!$C288)</f>
        <v>625740</v>
      </c>
      <c r="J288" s="183">
        <f ca="1">SUMIFS(OFFSET('BPC Data'!$F:$F,0,Summary!J$2),'BPC Data'!$E:$E,Summary!$D288,'BPC Data'!$B:$B,Summary!$C288)</f>
        <v>921932</v>
      </c>
      <c r="K288" s="19">
        <f ca="1">SUMIFS(OFFSET('BPC Data'!$F:$F,0,Summary!K$2),'BPC Data'!$E:$E,Summary!$D288,'BPC Data'!$B:$B,Summary!$C288)</f>
        <v>648972</v>
      </c>
      <c r="L288" s="183">
        <f ca="1">SUMIFS(OFFSET('BPC Data'!$F:$F,0,Summary!L$2),'BPC Data'!$E:$E,Summary!$D288,'BPC Data'!$B:$B,Summary!$C288)</f>
        <v>637951</v>
      </c>
      <c r="M288" s="19">
        <f ca="1">SUMIFS(OFFSET('BPC Data'!$F:$F,0,Summary!M$2),'BPC Data'!$E:$E,Summary!$D288,'BPC Data'!$B:$B,Summary!$C288)</f>
        <v>575807</v>
      </c>
      <c r="N288" s="183">
        <f ca="1">SUMIFS(OFFSET('BPC Data'!$F:$F,0,Summary!N$2),'BPC Data'!$E:$E,Summary!$D288,'BPC Data'!$B:$B,Summary!$C288)</f>
        <v>644125</v>
      </c>
      <c r="O288" s="19">
        <f ca="1">SUMIFS(OFFSET('BPC Data'!$F:$F,0,Summary!O$2),'BPC Data'!$E:$E,Summary!$D288,'BPC Data'!$B:$B,Summary!$C288)</f>
        <v>673827</v>
      </c>
      <c r="P288" s="183">
        <f ca="1">SUMIFS(OFFSET('BPC Data'!$F:$F,0,Summary!P$2),'BPC Data'!$E:$E,Summary!$D288,'BPC Data'!$B:$B,Summary!$C288)</f>
        <v>691792</v>
      </c>
      <c r="Q288" s="19">
        <f ca="1">SUMIFS(OFFSET('BPC Data'!$F:$F,0,Summary!Q$2),'BPC Data'!$E:$E,Summary!$D288,'BPC Data'!$B:$B,Summary!$C288)</f>
        <v>817354</v>
      </c>
      <c r="R288" s="183">
        <f ca="1">SUMIFS(OFFSET('BPC Data'!$F:$F,0,Summary!R$2),'BPC Data'!$E:$E,Summary!$D288,'BPC Data'!$B:$B,Summary!$C288)</f>
        <v>673656</v>
      </c>
      <c r="S288" s="187">
        <f t="shared" ca="1" si="98"/>
        <v>8270007</v>
      </c>
      <c r="T288" s="181"/>
    </row>
    <row r="289" spans="1:20" s="17" customFormat="1" outlineLevel="1" x14ac:dyDescent="0.25">
      <c r="A289" s="17">
        <f t="shared" si="105"/>
        <v>26</v>
      </c>
      <c r="B289"/>
      <c r="C289" t="str">
        <f>$F284</f>
        <v>SHC of Chapel Hill</v>
      </c>
      <c r="D289" s="3" t="str">
        <f t="shared" si="102"/>
        <v>T_BAD_DEBT - Tenant Bad Debt Expense</v>
      </c>
      <c r="E289"/>
      <c r="F289" s="24" t="str">
        <f>_xll.EVDES(D289)</f>
        <v>Tenant Bad Debt Expense</v>
      </c>
      <c r="G289" s="19">
        <f ca="1">SUMIFS(OFFSET('BPC Data'!$F:$F,0,Summary!G$2),'BPC Data'!$E:$E,Summary!$D289,'BPC Data'!$B:$B,Summary!$C289)</f>
        <v>28404</v>
      </c>
      <c r="H289" s="183">
        <f ca="1">SUMIFS(OFFSET('BPC Data'!$F:$F,0,Summary!H$2),'BPC Data'!$E:$E,Summary!$D289,'BPC Data'!$B:$B,Summary!$C289)</f>
        <v>56346</v>
      </c>
      <c r="I289" s="19">
        <f ca="1">SUMIFS(OFFSET('BPC Data'!$F:$F,0,Summary!I$2),'BPC Data'!$E:$E,Summary!$D289,'BPC Data'!$B:$B,Summary!$C289)</f>
        <v>30000</v>
      </c>
      <c r="J289" s="183">
        <f ca="1">SUMIFS(OFFSET('BPC Data'!$F:$F,0,Summary!J$2),'BPC Data'!$E:$E,Summary!$D289,'BPC Data'!$B:$B,Summary!$C289)</f>
        <v>101326</v>
      </c>
      <c r="K289" s="19">
        <f ca="1">SUMIFS(OFFSET('BPC Data'!$F:$F,0,Summary!K$2),'BPC Data'!$E:$E,Summary!$D289,'BPC Data'!$B:$B,Summary!$C289)</f>
        <v>18175</v>
      </c>
      <c r="L289" s="183">
        <f ca="1">SUMIFS(OFFSET('BPC Data'!$F:$F,0,Summary!L$2),'BPC Data'!$E:$E,Summary!$D289,'BPC Data'!$B:$B,Summary!$C289)</f>
        <v>15000</v>
      </c>
      <c r="M289" s="19">
        <f ca="1">SUMIFS(OFFSET('BPC Data'!$F:$F,0,Summary!M$2),'BPC Data'!$E:$E,Summary!$D289,'BPC Data'!$B:$B,Summary!$C289)</f>
        <v>0</v>
      </c>
      <c r="N289" s="183">
        <f ca="1">SUMIFS(OFFSET('BPC Data'!$F:$F,0,Summary!N$2),'BPC Data'!$E:$E,Summary!$D289,'BPC Data'!$B:$B,Summary!$C289)</f>
        <v>0</v>
      </c>
      <c r="O289" s="19">
        <f ca="1">SUMIFS(OFFSET('BPC Data'!$F:$F,0,Summary!O$2),'BPC Data'!$E:$E,Summary!$D289,'BPC Data'!$B:$B,Summary!$C289)</f>
        <v>0</v>
      </c>
      <c r="P289" s="183">
        <f ca="1">SUMIFS(OFFSET('BPC Data'!$F:$F,0,Summary!P$2),'BPC Data'!$E:$E,Summary!$D289,'BPC Data'!$B:$B,Summary!$C289)</f>
        <v>0</v>
      </c>
      <c r="Q289" s="19">
        <f ca="1">SUMIFS(OFFSET('BPC Data'!$F:$F,0,Summary!Q$2),'BPC Data'!$E:$E,Summary!$D289,'BPC Data'!$B:$B,Summary!$C289)</f>
        <v>0</v>
      </c>
      <c r="R289" s="183">
        <f ca="1">SUMIFS(OFFSET('BPC Data'!$F:$F,0,Summary!R$2),'BPC Data'!$E:$E,Summary!$D289,'BPC Data'!$B:$B,Summary!$C289)</f>
        <v>5000</v>
      </c>
      <c r="S289" s="187">
        <f t="shared" ca="1" si="98"/>
        <v>254251</v>
      </c>
      <c r="T289" s="181"/>
    </row>
    <row r="290" spans="1:20" s="17" customFormat="1" outlineLevel="1" x14ac:dyDescent="0.25">
      <c r="A290" s="17">
        <f t="shared" si="105"/>
        <v>26</v>
      </c>
      <c r="B290"/>
      <c r="C290" t="str">
        <f>$F284</f>
        <v>SHC of Chapel Hill</v>
      </c>
      <c r="D290" s="2" t="str">
        <f t="shared" si="102"/>
        <v>T_EBITDARM - EBITDARM</v>
      </c>
      <c r="E290"/>
      <c r="F290" s="24" t="str">
        <f>_xll.EVDES(D290)</f>
        <v>EBITDARM</v>
      </c>
      <c r="G290" s="19">
        <f ca="1">SUMIFS(OFFSET('BPC Data'!$F:$F,0,Summary!G$2),'BPC Data'!$E:$E,Summary!$D290,'BPC Data'!$B:$B,Summary!$C290)</f>
        <v>88731</v>
      </c>
      <c r="H290" s="183">
        <f ca="1">SUMIFS(OFFSET('BPC Data'!$F:$F,0,Summary!H$2),'BPC Data'!$E:$E,Summary!$D290,'BPC Data'!$B:$B,Summary!$C290)</f>
        <v>161448</v>
      </c>
      <c r="I290" s="19">
        <f ca="1">SUMIFS(OFFSET('BPC Data'!$F:$F,0,Summary!I$2),'BPC Data'!$E:$E,Summary!$D290,'BPC Data'!$B:$B,Summary!$C290)</f>
        <v>239234</v>
      </c>
      <c r="J290" s="183">
        <f ca="1">SUMIFS(OFFSET('BPC Data'!$F:$F,0,Summary!J$2),'BPC Data'!$E:$E,Summary!$D290,'BPC Data'!$B:$B,Summary!$C290)</f>
        <v>-332990</v>
      </c>
      <c r="K290" s="19">
        <f ca="1">SUMIFS(OFFSET('BPC Data'!$F:$F,0,Summary!K$2),'BPC Data'!$E:$E,Summary!$D290,'BPC Data'!$B:$B,Summary!$C290)</f>
        <v>255420</v>
      </c>
      <c r="L290" s="183">
        <f ca="1">SUMIFS(OFFSET('BPC Data'!$F:$F,0,Summary!L$2),'BPC Data'!$E:$E,Summary!$D290,'BPC Data'!$B:$B,Summary!$C290)</f>
        <v>132001</v>
      </c>
      <c r="M290" s="19">
        <f ca="1">SUMIFS(OFFSET('BPC Data'!$F:$F,0,Summary!M$2),'BPC Data'!$E:$E,Summary!$D290,'BPC Data'!$B:$B,Summary!$C290)</f>
        <v>181067</v>
      </c>
      <c r="N290" s="183">
        <f ca="1">SUMIFS(OFFSET('BPC Data'!$F:$F,0,Summary!N$2),'BPC Data'!$E:$E,Summary!$D290,'BPC Data'!$B:$B,Summary!$C290)</f>
        <v>54947</v>
      </c>
      <c r="O290" s="19">
        <f ca="1">SUMIFS(OFFSET('BPC Data'!$F:$F,0,Summary!O$2),'BPC Data'!$E:$E,Summary!$D290,'BPC Data'!$B:$B,Summary!$C290)</f>
        <v>312978</v>
      </c>
      <c r="P290" s="183">
        <f ca="1">SUMIFS(OFFSET('BPC Data'!$F:$F,0,Summary!P$2),'BPC Data'!$E:$E,Summary!$D290,'BPC Data'!$B:$B,Summary!$C290)</f>
        <v>190867</v>
      </c>
      <c r="Q290" s="19">
        <f ca="1">SUMIFS(OFFSET('BPC Data'!$F:$F,0,Summary!Q$2),'BPC Data'!$E:$E,Summary!$D290,'BPC Data'!$B:$B,Summary!$C290)</f>
        <v>115989</v>
      </c>
      <c r="R290" s="183">
        <f ca="1">SUMIFS(OFFSET('BPC Data'!$F:$F,0,Summary!R$2),'BPC Data'!$E:$E,Summary!$D290,'BPC Data'!$B:$B,Summary!$C290)</f>
        <v>322360</v>
      </c>
      <c r="S290" s="187">
        <f t="shared" ca="1" si="98"/>
        <v>1722052</v>
      </c>
      <c r="T290" s="181"/>
    </row>
    <row r="291" spans="1:20" s="17" customFormat="1" outlineLevel="1" x14ac:dyDescent="0.25">
      <c r="A291" s="17">
        <f t="shared" si="105"/>
        <v>26</v>
      </c>
      <c r="B291"/>
      <c r="C291" t="str">
        <f>$F284</f>
        <v>SHC of Chapel Hill</v>
      </c>
      <c r="D291" s="2" t="str">
        <f t="shared" si="102"/>
        <v>T_MGMT_FEE - Tenant Management Fee - Actual</v>
      </c>
      <c r="E291"/>
      <c r="F291" s="24" t="str">
        <f>_xll.EVDES(D291)</f>
        <v>Tenant Management Fee - Actual</v>
      </c>
      <c r="G291" s="19">
        <f ca="1">SUMIFS(OFFSET('BPC Data'!$F:$F,0,Summary!G$2),'BPC Data'!$E:$E,Summary!$D291,'BPC Data'!$B:$B,Summary!$C291)</f>
        <v>36069</v>
      </c>
      <c r="H291" s="183">
        <f ca="1">SUMIFS(OFFSET('BPC Data'!$F:$F,0,Summary!H$2),'BPC Data'!$E:$E,Summary!$D291,'BPC Data'!$B:$B,Summary!$C291)</f>
        <v>45187</v>
      </c>
      <c r="I291" s="19">
        <f ca="1">SUMIFS(OFFSET('BPC Data'!$F:$F,0,Summary!I$2),'BPC Data'!$E:$E,Summary!$D291,'BPC Data'!$B:$B,Summary!$C291)</f>
        <v>43681</v>
      </c>
      <c r="J291" s="183">
        <f ca="1">SUMIFS(OFFSET('BPC Data'!$F:$F,0,Summary!J$2),'BPC Data'!$E:$E,Summary!$D291,'BPC Data'!$B:$B,Summary!$C291)</f>
        <v>29742</v>
      </c>
      <c r="K291" s="19">
        <f ca="1">SUMIFS(OFFSET('BPC Data'!$F:$F,0,Summary!K$2),'BPC Data'!$E:$E,Summary!$D291,'BPC Data'!$B:$B,Summary!$C291)</f>
        <v>45672</v>
      </c>
      <c r="L291" s="183">
        <f ca="1">SUMIFS(OFFSET('BPC Data'!$F:$F,0,Summary!L$2),'BPC Data'!$E:$E,Summary!$D291,'BPC Data'!$B:$B,Summary!$C291)</f>
        <v>38883</v>
      </c>
      <c r="M291" s="19">
        <f ca="1">SUMIFS(OFFSET('BPC Data'!$F:$F,0,Summary!M$2),'BPC Data'!$E:$E,Summary!$D291,'BPC Data'!$B:$B,Summary!$C291)</f>
        <v>38222</v>
      </c>
      <c r="N291" s="183">
        <f ca="1">SUMIFS(OFFSET('BPC Data'!$F:$F,0,Summary!N$2),'BPC Data'!$E:$E,Summary!$D291,'BPC Data'!$B:$B,Summary!$C291)</f>
        <v>35303</v>
      </c>
      <c r="O291" s="19">
        <f ca="1">SUMIFS(OFFSET('BPC Data'!$F:$F,0,Summary!O$2),'BPC Data'!$E:$E,Summary!$D291,'BPC Data'!$B:$B,Summary!$C291)</f>
        <v>49834</v>
      </c>
      <c r="P291" s="183">
        <f ca="1">SUMIFS(OFFSET('BPC Data'!$F:$F,0,Summary!P$2),'BPC Data'!$E:$E,Summary!$D291,'BPC Data'!$B:$B,Summary!$C291)</f>
        <v>44574</v>
      </c>
      <c r="Q291" s="19">
        <f ca="1">SUMIFS(OFFSET('BPC Data'!$F:$F,0,Summary!Q$2),'BPC Data'!$E:$E,Summary!$D291,'BPC Data'!$B:$B,Summary!$C291)</f>
        <v>47134</v>
      </c>
      <c r="R291" s="183">
        <f ca="1">SUMIFS(OFFSET('BPC Data'!$F:$F,0,Summary!R$2),'BPC Data'!$E:$E,Summary!$D291,'BPC Data'!$B:$B,Summary!$C291)</f>
        <v>50299</v>
      </c>
      <c r="S291" s="187">
        <f t="shared" ca="1" si="98"/>
        <v>504600</v>
      </c>
      <c r="T291" s="181"/>
    </row>
    <row r="292" spans="1:20" s="17" customFormat="1" outlineLevel="1" x14ac:dyDescent="0.25">
      <c r="A292" s="17">
        <f t="shared" si="105"/>
        <v>26</v>
      </c>
      <c r="B292"/>
      <c r="C292" t="str">
        <f>$F284</f>
        <v>SHC of Chapel Hill</v>
      </c>
      <c r="D292" s="1" t="str">
        <f t="shared" si="102"/>
        <v>T_EBITDAR - EBITDAR</v>
      </c>
      <c r="E292"/>
      <c r="F292" s="24" t="str">
        <f>_xll.EVDES(D292)</f>
        <v>EBITDAR</v>
      </c>
      <c r="G292" s="19">
        <f ca="1">SUMIFS(OFFSET('BPC Data'!$F:$F,0,Summary!G$2),'BPC Data'!$E:$E,Summary!$D292,'BPC Data'!$B:$B,Summary!$C292)</f>
        <v>52662</v>
      </c>
      <c r="H292" s="183">
        <f ca="1">SUMIFS(OFFSET('BPC Data'!$F:$F,0,Summary!H$2),'BPC Data'!$E:$E,Summary!$D292,'BPC Data'!$B:$B,Summary!$C292)</f>
        <v>116261</v>
      </c>
      <c r="I292" s="19">
        <f ca="1">SUMIFS(OFFSET('BPC Data'!$F:$F,0,Summary!I$2),'BPC Data'!$E:$E,Summary!$D292,'BPC Data'!$B:$B,Summary!$C292)</f>
        <v>195553</v>
      </c>
      <c r="J292" s="183">
        <f ca="1">SUMIFS(OFFSET('BPC Data'!$F:$F,0,Summary!J$2),'BPC Data'!$E:$E,Summary!$D292,'BPC Data'!$B:$B,Summary!$C292)</f>
        <v>-362732</v>
      </c>
      <c r="K292" s="19">
        <f ca="1">SUMIFS(OFFSET('BPC Data'!$F:$F,0,Summary!K$2),'BPC Data'!$E:$E,Summary!$D292,'BPC Data'!$B:$B,Summary!$C292)</f>
        <v>209748</v>
      </c>
      <c r="L292" s="183">
        <f ca="1">SUMIFS(OFFSET('BPC Data'!$F:$F,0,Summary!L$2),'BPC Data'!$E:$E,Summary!$D292,'BPC Data'!$B:$B,Summary!$C292)</f>
        <v>93118</v>
      </c>
      <c r="M292" s="19">
        <f ca="1">SUMIFS(OFFSET('BPC Data'!$F:$F,0,Summary!M$2),'BPC Data'!$E:$E,Summary!$D292,'BPC Data'!$B:$B,Summary!$C292)</f>
        <v>142845</v>
      </c>
      <c r="N292" s="183">
        <f ca="1">SUMIFS(OFFSET('BPC Data'!$F:$F,0,Summary!N$2),'BPC Data'!$E:$E,Summary!$D292,'BPC Data'!$B:$B,Summary!$C292)</f>
        <v>19644</v>
      </c>
      <c r="O292" s="19">
        <f ca="1">SUMIFS(OFFSET('BPC Data'!$F:$F,0,Summary!O$2),'BPC Data'!$E:$E,Summary!$D292,'BPC Data'!$B:$B,Summary!$C292)</f>
        <v>263144</v>
      </c>
      <c r="P292" s="183">
        <f ca="1">SUMIFS(OFFSET('BPC Data'!$F:$F,0,Summary!P$2),'BPC Data'!$E:$E,Summary!$D292,'BPC Data'!$B:$B,Summary!$C292)</f>
        <v>146293</v>
      </c>
      <c r="Q292" s="19">
        <f ca="1">SUMIFS(OFFSET('BPC Data'!$F:$F,0,Summary!Q$2),'BPC Data'!$E:$E,Summary!$D292,'BPC Data'!$B:$B,Summary!$C292)</f>
        <v>68855</v>
      </c>
      <c r="R292" s="183">
        <f ca="1">SUMIFS(OFFSET('BPC Data'!$F:$F,0,Summary!R$2),'BPC Data'!$E:$E,Summary!$D292,'BPC Data'!$B:$B,Summary!$C292)</f>
        <v>272061</v>
      </c>
      <c r="S292" s="187">
        <f t="shared" ca="1" si="98"/>
        <v>1217452</v>
      </c>
      <c r="T292" s="181"/>
    </row>
    <row r="293" spans="1:20" s="17" customFormat="1" outlineLevel="1" x14ac:dyDescent="0.25">
      <c r="A293" s="17">
        <f t="shared" si="105"/>
        <v>26</v>
      </c>
      <c r="B293"/>
      <c r="C293" t="str">
        <f>$F284</f>
        <v>SHC of Chapel Hill</v>
      </c>
      <c r="D293" s="1" t="str">
        <f t="shared" si="102"/>
        <v>T_RENT_EXP - Tenant Rent Expense</v>
      </c>
      <c r="E293"/>
      <c r="F293" s="24" t="str">
        <f>_xll.EVDES(D293)</f>
        <v>Tenant Rent Expense</v>
      </c>
      <c r="G293" s="19">
        <f ca="1">SUMIFS(OFFSET('BPC Data'!$F:$F,0,Summary!G$2),'BPC Data'!$E:$E,Summary!$D293,'BPC Data'!$B:$B,Summary!$C293)</f>
        <v>5253</v>
      </c>
      <c r="H293" s="183">
        <f ca="1">SUMIFS(OFFSET('BPC Data'!$F:$F,0,Summary!H$2),'BPC Data'!$E:$E,Summary!$D293,'BPC Data'!$B:$B,Summary!$C293)</f>
        <v>5253</v>
      </c>
      <c r="I293" s="19">
        <f ca="1">SUMIFS(OFFSET('BPC Data'!$F:$F,0,Summary!I$2),'BPC Data'!$E:$E,Summary!$D293,'BPC Data'!$B:$B,Summary!$C293)</f>
        <v>5253</v>
      </c>
      <c r="J293" s="183">
        <f ca="1">SUMIFS(OFFSET('BPC Data'!$F:$F,0,Summary!J$2),'BPC Data'!$E:$E,Summary!$D293,'BPC Data'!$B:$B,Summary!$C293)</f>
        <v>5384</v>
      </c>
      <c r="K293" s="19">
        <f ca="1">SUMIFS(OFFSET('BPC Data'!$F:$F,0,Summary!K$2),'BPC Data'!$E:$E,Summary!$D293,'BPC Data'!$B:$B,Summary!$C293)</f>
        <v>5384</v>
      </c>
      <c r="L293" s="183">
        <f ca="1">SUMIFS(OFFSET('BPC Data'!$F:$F,0,Summary!L$2),'BPC Data'!$E:$E,Summary!$D293,'BPC Data'!$B:$B,Summary!$C293)</f>
        <v>5384</v>
      </c>
      <c r="M293" s="19">
        <f ca="1">SUMIFS(OFFSET('BPC Data'!$F:$F,0,Summary!M$2),'BPC Data'!$E:$E,Summary!$D293,'BPC Data'!$B:$B,Summary!$C293)</f>
        <v>5384</v>
      </c>
      <c r="N293" s="183">
        <f ca="1">SUMIFS(OFFSET('BPC Data'!$F:$F,0,Summary!N$2),'BPC Data'!$E:$E,Summary!$D293,'BPC Data'!$B:$B,Summary!$C293)</f>
        <v>5384</v>
      </c>
      <c r="O293" s="19">
        <f ca="1">SUMIFS(OFFSET('BPC Data'!$F:$F,0,Summary!O$2),'BPC Data'!$E:$E,Summary!$D293,'BPC Data'!$B:$B,Summary!$C293)</f>
        <v>5384</v>
      </c>
      <c r="P293" s="183">
        <f ca="1">SUMIFS(OFFSET('BPC Data'!$F:$F,0,Summary!P$2),'BPC Data'!$E:$E,Summary!$D293,'BPC Data'!$B:$B,Summary!$C293)</f>
        <v>5384</v>
      </c>
      <c r="Q293" s="19">
        <f ca="1">SUMIFS(OFFSET('BPC Data'!$F:$F,0,Summary!Q$2),'BPC Data'!$E:$E,Summary!$D293,'BPC Data'!$B:$B,Summary!$C293)</f>
        <v>5384</v>
      </c>
      <c r="R293" s="183">
        <f ca="1">SUMIFS(OFFSET('BPC Data'!$F:$F,0,Summary!R$2),'BPC Data'!$E:$E,Summary!$D293,'BPC Data'!$B:$B,Summary!$C293)</f>
        <v>5384</v>
      </c>
      <c r="S293" s="187">
        <f t="shared" ca="1" si="98"/>
        <v>64215</v>
      </c>
      <c r="T293" s="181"/>
    </row>
    <row r="294" spans="1:20" s="17" customFormat="1" outlineLevel="1" x14ac:dyDescent="0.25">
      <c r="A294" s="17">
        <f t="shared" si="105"/>
        <v>26</v>
      </c>
      <c r="B294"/>
      <c r="C294"/>
      <c r="D294" s="1" t="str">
        <f t="shared" si="102"/>
        <v>x</v>
      </c>
      <c r="E294"/>
      <c r="F294" s="24" t="s">
        <v>0</v>
      </c>
      <c r="G294" s="12">
        <f ca="1">G292/G293</f>
        <v>10.025128498001143</v>
      </c>
      <c r="H294" s="184">
        <f t="shared" ref="H294:I294" ca="1" si="106">H292/H293</f>
        <v>22.132305349324195</v>
      </c>
      <c r="I294" s="12">
        <f t="shared" ca="1" si="106"/>
        <v>37.226917951646676</v>
      </c>
      <c r="J294" s="184">
        <f t="shared" ref="J294:R294" ca="1" si="107">J292/J293</f>
        <v>-67.372213967310543</v>
      </c>
      <c r="K294" s="12">
        <f t="shared" ca="1" si="107"/>
        <v>38.957652303120355</v>
      </c>
      <c r="L294" s="184">
        <f t="shared" ca="1" si="107"/>
        <v>17.295319465081725</v>
      </c>
      <c r="M294" s="12">
        <f t="shared" ca="1" si="107"/>
        <v>26.531389301634473</v>
      </c>
      <c r="N294" s="184">
        <f t="shared" ca="1" si="107"/>
        <v>3.6485884101040118</v>
      </c>
      <c r="O294" s="12">
        <f t="shared" ca="1" si="107"/>
        <v>48.87518573551263</v>
      </c>
      <c r="P294" s="184">
        <f t="shared" ca="1" si="107"/>
        <v>27.171805349182765</v>
      </c>
      <c r="Q294" s="12">
        <f t="shared" ca="1" si="107"/>
        <v>12.788818722139673</v>
      </c>
      <c r="R294" s="184">
        <f t="shared" ca="1" si="107"/>
        <v>50.531389301634469</v>
      </c>
      <c r="S294" s="187">
        <f t="shared" ca="1" si="98"/>
        <v>227.81228642007156</v>
      </c>
      <c r="T294" s="181"/>
    </row>
    <row r="295" spans="1:20" s="17" customFormat="1" outlineLevel="1" x14ac:dyDescent="0.25">
      <c r="A295" s="17">
        <f>IF(AND(D295&lt;&gt;"",C295=""),A294+1,A294)</f>
        <v>27</v>
      </c>
      <c r="B295" s="5"/>
      <c r="C295" s="5"/>
      <c r="D295" s="5" t="str">
        <f t="shared" si="102"/>
        <v>x</v>
      </c>
      <c r="E295" s="5"/>
      <c r="F295" s="23" t="str">
        <f>INDEX(PropertyList!$D:$D,MATCH(Summary!$A295,PropertyList!$C:$C,0))</f>
        <v>SHC of Chillicothe</v>
      </c>
      <c r="G295" s="11"/>
      <c r="H295" s="182"/>
      <c r="I295" s="11"/>
      <c r="J295" s="182"/>
      <c r="K295" s="11"/>
      <c r="L295" s="182"/>
      <c r="M295" s="11"/>
      <c r="N295" s="182"/>
      <c r="O295" s="11"/>
      <c r="P295" s="182"/>
      <c r="Q295" s="11"/>
      <c r="R295" s="182"/>
      <c r="S295" s="187">
        <f t="shared" si="98"/>
        <v>0</v>
      </c>
      <c r="T295" s="181"/>
    </row>
    <row r="296" spans="1:20" s="17" customFormat="1" outlineLevel="1" x14ac:dyDescent="0.25">
      <c r="A296" s="17">
        <f>IF(AND(F296&lt;&gt;"",D296=""),A295+1,A295)</f>
        <v>27</v>
      </c>
      <c r="C296" t="str">
        <f>$F295</f>
        <v>SHC of Chillicothe</v>
      </c>
      <c r="D296" s="3" t="str">
        <f t="shared" si="102"/>
        <v>PAY_PAT_DAYS - Total Payor Patient Days</v>
      </c>
      <c r="F296" s="24" t="str">
        <f>_xll.EVDES(D296)</f>
        <v>Total Payor Patient Days</v>
      </c>
      <c r="G296" s="19">
        <f ca="1">SUMIFS(OFFSET('BPC Data'!$F:$F,0,Summary!G$2),'BPC Data'!$E:$E,Summary!$D296,'BPC Data'!$B:$B,Summary!$C296)</f>
        <v>2406</v>
      </c>
      <c r="H296" s="183">
        <f ca="1">SUMIFS(OFFSET('BPC Data'!$F:$F,0,Summary!H$2),'BPC Data'!$E:$E,Summary!$D296,'BPC Data'!$B:$B,Summary!$C296)</f>
        <v>1745</v>
      </c>
      <c r="I296" s="19">
        <f ca="1">SUMIFS(OFFSET('BPC Data'!$F:$F,0,Summary!I$2),'BPC Data'!$E:$E,Summary!$D296,'BPC Data'!$B:$B,Summary!$C296)</f>
        <v>1584</v>
      </c>
      <c r="J296" s="183">
        <f ca="1">SUMIFS(OFFSET('BPC Data'!$F:$F,0,Summary!J$2),'BPC Data'!$E:$E,Summary!$D296,'BPC Data'!$B:$B,Summary!$C296)</f>
        <v>1784</v>
      </c>
      <c r="K296" s="19">
        <f ca="1">SUMIFS(OFFSET('BPC Data'!$F:$F,0,Summary!K$2),'BPC Data'!$E:$E,Summary!$D296,'BPC Data'!$B:$B,Summary!$C296)</f>
        <v>1859</v>
      </c>
      <c r="L296" s="183">
        <f ca="1">SUMIFS(OFFSET('BPC Data'!$F:$F,0,Summary!L$2),'BPC Data'!$E:$E,Summary!$D296,'BPC Data'!$B:$B,Summary!$C296)</f>
        <v>1730</v>
      </c>
      <c r="M296" s="19">
        <f ca="1">SUMIFS(OFFSET('BPC Data'!$F:$F,0,Summary!M$2),'BPC Data'!$E:$E,Summary!$D296,'BPC Data'!$B:$B,Summary!$C296)</f>
        <v>1808</v>
      </c>
      <c r="N296" s="183">
        <f ca="1">SUMIFS(OFFSET('BPC Data'!$F:$F,0,Summary!N$2),'BPC Data'!$E:$E,Summary!$D296,'BPC Data'!$B:$B,Summary!$C296)</f>
        <v>1838</v>
      </c>
      <c r="O296" s="19">
        <f ca="1">SUMIFS(OFFSET('BPC Data'!$F:$F,0,Summary!O$2),'BPC Data'!$E:$E,Summary!$D296,'BPC Data'!$B:$B,Summary!$C296)</f>
        <v>1826</v>
      </c>
      <c r="P296" s="183">
        <f ca="1">SUMIFS(OFFSET('BPC Data'!$F:$F,0,Summary!P$2),'BPC Data'!$E:$E,Summary!$D296,'BPC Data'!$B:$B,Summary!$C296)</f>
        <v>1650</v>
      </c>
      <c r="Q296" s="19">
        <f ca="1">SUMIFS(OFFSET('BPC Data'!$F:$F,0,Summary!Q$2),'BPC Data'!$E:$E,Summary!$D296,'BPC Data'!$B:$B,Summary!$C296)</f>
        <v>1670</v>
      </c>
      <c r="R296" s="183">
        <f ca="1">SUMIFS(OFFSET('BPC Data'!$F:$F,0,Summary!R$2),'BPC Data'!$E:$E,Summary!$D296,'BPC Data'!$B:$B,Summary!$C296)</f>
        <v>1728</v>
      </c>
      <c r="S296" s="187">
        <f t="shared" ca="1" si="98"/>
        <v>21628</v>
      </c>
      <c r="T296" s="181"/>
    </row>
    <row r="297" spans="1:20" s="17" customFormat="1" outlineLevel="1" x14ac:dyDescent="0.25">
      <c r="A297" s="17">
        <f t="shared" ref="A297:A305" si="108">IF(AND(F297&lt;&gt;"",D297=""),A296+1,A296)</f>
        <v>27</v>
      </c>
      <c r="C297" t="str">
        <f>$F295</f>
        <v>SHC of Chillicothe</v>
      </c>
      <c r="D297" s="3" t="str">
        <f t="shared" si="102"/>
        <v>A_BEDS_TOTAL - Total Available Beds</v>
      </c>
      <c r="F297" s="24" t="str">
        <f>_xll.EVDES(D297)</f>
        <v>Total Available Beds</v>
      </c>
      <c r="G297" s="19">
        <f ca="1">SUMIFS(OFFSET('BPC Data'!$F:$F,0,Summary!G$2),'BPC Data'!$E:$E,Summary!$D297,'BPC Data'!$B:$B,Summary!$C297)</f>
        <v>101</v>
      </c>
      <c r="H297" s="183">
        <f ca="1">SUMIFS(OFFSET('BPC Data'!$F:$F,0,Summary!H$2),'BPC Data'!$E:$E,Summary!$D297,'BPC Data'!$B:$B,Summary!$C297)</f>
        <v>101</v>
      </c>
      <c r="I297" s="19">
        <f ca="1">SUMIFS(OFFSET('BPC Data'!$F:$F,0,Summary!I$2),'BPC Data'!$E:$E,Summary!$D297,'BPC Data'!$B:$B,Summary!$C297)</f>
        <v>101</v>
      </c>
      <c r="J297" s="183">
        <f ca="1">SUMIFS(OFFSET('BPC Data'!$F:$F,0,Summary!J$2),'BPC Data'!$E:$E,Summary!$D297,'BPC Data'!$B:$B,Summary!$C297)</f>
        <v>101</v>
      </c>
      <c r="K297" s="19">
        <f ca="1">SUMIFS(OFFSET('BPC Data'!$F:$F,0,Summary!K$2),'BPC Data'!$E:$E,Summary!$D297,'BPC Data'!$B:$B,Summary!$C297)</f>
        <v>101</v>
      </c>
      <c r="L297" s="183">
        <f ca="1">SUMIFS(OFFSET('BPC Data'!$F:$F,0,Summary!L$2),'BPC Data'!$E:$E,Summary!$D297,'BPC Data'!$B:$B,Summary!$C297)</f>
        <v>101</v>
      </c>
      <c r="M297" s="19">
        <f ca="1">SUMIFS(OFFSET('BPC Data'!$F:$F,0,Summary!M$2),'BPC Data'!$E:$E,Summary!$D297,'BPC Data'!$B:$B,Summary!$C297)</f>
        <v>101</v>
      </c>
      <c r="N297" s="183">
        <f ca="1">SUMIFS(OFFSET('BPC Data'!$F:$F,0,Summary!N$2),'BPC Data'!$E:$E,Summary!$D297,'BPC Data'!$B:$B,Summary!$C297)</f>
        <v>101</v>
      </c>
      <c r="O297" s="19">
        <f ca="1">SUMIFS(OFFSET('BPC Data'!$F:$F,0,Summary!O$2),'BPC Data'!$E:$E,Summary!$D297,'BPC Data'!$B:$B,Summary!$C297)</f>
        <v>101</v>
      </c>
      <c r="P297" s="183">
        <f ca="1">SUMIFS(OFFSET('BPC Data'!$F:$F,0,Summary!P$2),'BPC Data'!$E:$E,Summary!$D297,'BPC Data'!$B:$B,Summary!$C297)</f>
        <v>101</v>
      </c>
      <c r="Q297" s="19">
        <f ca="1">SUMIFS(OFFSET('BPC Data'!$F:$F,0,Summary!Q$2),'BPC Data'!$E:$E,Summary!$D297,'BPC Data'!$B:$B,Summary!$C297)</f>
        <v>101</v>
      </c>
      <c r="R297" s="183">
        <f ca="1">SUMIFS(OFFSET('BPC Data'!$F:$F,0,Summary!R$2),'BPC Data'!$E:$E,Summary!$D297,'BPC Data'!$B:$B,Summary!$C297)</f>
        <v>101</v>
      </c>
      <c r="S297" s="187">
        <f ca="1">R297</f>
        <v>101</v>
      </c>
      <c r="T297" s="181"/>
    </row>
    <row r="298" spans="1:20" s="17" customFormat="1" outlineLevel="1" x14ac:dyDescent="0.25">
      <c r="A298" s="17">
        <f t="shared" si="108"/>
        <v>27</v>
      </c>
      <c r="B298"/>
      <c r="C298" t="str">
        <f>$F295</f>
        <v>SHC of Chillicothe</v>
      </c>
      <c r="D298" s="3" t="str">
        <f t="shared" si="102"/>
        <v>T_REVENUES - Total Tenant Revenues</v>
      </c>
      <c r="E298"/>
      <c r="F298" s="24" t="str">
        <f>_xll.EVDES(D298)</f>
        <v>Total Tenant Revenues</v>
      </c>
      <c r="G298" s="19">
        <f ca="1">SUMIFS(OFFSET('BPC Data'!$F:$F,0,Summary!G$2),'BPC Data'!$E:$E,Summary!$D298,'BPC Data'!$B:$B,Summary!$C298)</f>
        <v>829884</v>
      </c>
      <c r="H298" s="183">
        <f ca="1">SUMIFS(OFFSET('BPC Data'!$F:$F,0,Summary!H$2),'BPC Data'!$E:$E,Summary!$D298,'BPC Data'!$B:$B,Summary!$C298)</f>
        <v>920943</v>
      </c>
      <c r="I298" s="19">
        <f ca="1">SUMIFS(OFFSET('BPC Data'!$F:$F,0,Summary!I$2),'BPC Data'!$E:$E,Summary!$D298,'BPC Data'!$B:$B,Summary!$C298)</f>
        <v>670729</v>
      </c>
      <c r="J298" s="183">
        <f ca="1">SUMIFS(OFFSET('BPC Data'!$F:$F,0,Summary!J$2),'BPC Data'!$E:$E,Summary!$D298,'BPC Data'!$B:$B,Summary!$C298)</f>
        <v>920027</v>
      </c>
      <c r="K298" s="19">
        <f ca="1">SUMIFS(OFFSET('BPC Data'!$F:$F,0,Summary!K$2),'BPC Data'!$E:$E,Summary!$D298,'BPC Data'!$B:$B,Summary!$C298)</f>
        <v>526899</v>
      </c>
      <c r="L298" s="183">
        <f ca="1">SUMIFS(OFFSET('BPC Data'!$F:$F,0,Summary!L$2),'BPC Data'!$E:$E,Summary!$D298,'BPC Data'!$B:$B,Summary!$C298)</f>
        <v>503517</v>
      </c>
      <c r="M298" s="19">
        <f ca="1">SUMIFS(OFFSET('BPC Data'!$F:$F,0,Summary!M$2),'BPC Data'!$E:$E,Summary!$D298,'BPC Data'!$B:$B,Summary!$C298)</f>
        <v>514702</v>
      </c>
      <c r="N298" s="183">
        <f ca="1">SUMIFS(OFFSET('BPC Data'!$F:$F,0,Summary!N$2),'BPC Data'!$E:$E,Summary!$D298,'BPC Data'!$B:$B,Summary!$C298)</f>
        <v>513835</v>
      </c>
      <c r="O298" s="19">
        <f ca="1">SUMIFS(OFFSET('BPC Data'!$F:$F,0,Summary!O$2),'BPC Data'!$E:$E,Summary!$D298,'BPC Data'!$B:$B,Summary!$C298)</f>
        <v>502153</v>
      </c>
      <c r="P298" s="183">
        <f ca="1">SUMIFS(OFFSET('BPC Data'!$F:$F,0,Summary!P$2),'BPC Data'!$E:$E,Summary!$D298,'BPC Data'!$B:$B,Summary!$C298)</f>
        <v>457954</v>
      </c>
      <c r="Q298" s="19">
        <f ca="1">SUMIFS(OFFSET('BPC Data'!$F:$F,0,Summary!Q$2),'BPC Data'!$E:$E,Summary!$D298,'BPC Data'!$B:$B,Summary!$C298)</f>
        <v>510285</v>
      </c>
      <c r="R298" s="183">
        <f ca="1">SUMIFS(OFFSET('BPC Data'!$F:$F,0,Summary!R$2),'BPC Data'!$E:$E,Summary!$D298,'BPC Data'!$B:$B,Summary!$C298)</f>
        <v>520521</v>
      </c>
      <c r="S298" s="187">
        <f t="shared" ca="1" si="98"/>
        <v>7391449</v>
      </c>
      <c r="T298" s="181"/>
    </row>
    <row r="299" spans="1:20" s="17" customFormat="1" outlineLevel="1" x14ac:dyDescent="0.25">
      <c r="A299" s="17">
        <f t="shared" si="108"/>
        <v>27</v>
      </c>
      <c r="B299"/>
      <c r="C299" t="str">
        <f>$F295</f>
        <v>SHC of Chillicothe</v>
      </c>
      <c r="D299" s="3" t="str">
        <f t="shared" si="102"/>
        <v>T_OPEX - Tenant Operating Expenses</v>
      </c>
      <c r="E299"/>
      <c r="F299" s="24" t="str">
        <f>_xll.EVDES(D299)</f>
        <v>Tenant Operating Expenses</v>
      </c>
      <c r="G299" s="19">
        <f ca="1">SUMIFS(OFFSET('BPC Data'!$F:$F,0,Summary!G$2),'BPC Data'!$E:$E,Summary!$D299,'BPC Data'!$B:$B,Summary!$C299)</f>
        <v>561178</v>
      </c>
      <c r="H299" s="183">
        <f ca="1">SUMIFS(OFFSET('BPC Data'!$F:$F,0,Summary!H$2),'BPC Data'!$E:$E,Summary!$D299,'BPC Data'!$B:$B,Summary!$C299)</f>
        <v>570988</v>
      </c>
      <c r="I299" s="19">
        <f ca="1">SUMIFS(OFFSET('BPC Data'!$F:$F,0,Summary!I$2),'BPC Data'!$E:$E,Summary!$D299,'BPC Data'!$B:$B,Summary!$C299)</f>
        <v>437621</v>
      </c>
      <c r="J299" s="183">
        <f ca="1">SUMIFS(OFFSET('BPC Data'!$F:$F,0,Summary!J$2),'BPC Data'!$E:$E,Summary!$D299,'BPC Data'!$B:$B,Summary!$C299)</f>
        <v>450012</v>
      </c>
      <c r="K299" s="19">
        <f ca="1">SUMIFS(OFFSET('BPC Data'!$F:$F,0,Summary!K$2),'BPC Data'!$E:$E,Summary!$D299,'BPC Data'!$B:$B,Summary!$C299)</f>
        <v>508212</v>
      </c>
      <c r="L299" s="183">
        <f ca="1">SUMIFS(OFFSET('BPC Data'!$F:$F,0,Summary!L$2),'BPC Data'!$E:$E,Summary!$D299,'BPC Data'!$B:$B,Summary!$C299)</f>
        <v>446475</v>
      </c>
      <c r="M299" s="19">
        <f ca="1">SUMIFS(OFFSET('BPC Data'!$F:$F,0,Summary!M$2),'BPC Data'!$E:$E,Summary!$D299,'BPC Data'!$B:$B,Summary!$C299)</f>
        <v>459766</v>
      </c>
      <c r="N299" s="183">
        <f ca="1">SUMIFS(OFFSET('BPC Data'!$F:$F,0,Summary!N$2),'BPC Data'!$E:$E,Summary!$D299,'BPC Data'!$B:$B,Summary!$C299)</f>
        <v>469978</v>
      </c>
      <c r="O299" s="19">
        <f ca="1">SUMIFS(OFFSET('BPC Data'!$F:$F,0,Summary!O$2),'BPC Data'!$E:$E,Summary!$D299,'BPC Data'!$B:$B,Summary!$C299)</f>
        <v>458653</v>
      </c>
      <c r="P299" s="183">
        <f ca="1">SUMIFS(OFFSET('BPC Data'!$F:$F,0,Summary!P$2),'BPC Data'!$E:$E,Summary!$D299,'BPC Data'!$B:$B,Summary!$C299)</f>
        <v>452159</v>
      </c>
      <c r="Q299" s="19">
        <f ca="1">SUMIFS(OFFSET('BPC Data'!$F:$F,0,Summary!Q$2),'BPC Data'!$E:$E,Summary!$D299,'BPC Data'!$B:$B,Summary!$C299)</f>
        <v>464548</v>
      </c>
      <c r="R299" s="183">
        <f ca="1">SUMIFS(OFFSET('BPC Data'!$F:$F,0,Summary!R$2),'BPC Data'!$E:$E,Summary!$D299,'BPC Data'!$B:$B,Summary!$C299)</f>
        <v>463909</v>
      </c>
      <c r="S299" s="187">
        <f t="shared" ca="1" si="98"/>
        <v>5743499</v>
      </c>
      <c r="T299" s="181"/>
    </row>
    <row r="300" spans="1:20" s="17" customFormat="1" outlineLevel="1" x14ac:dyDescent="0.25">
      <c r="A300" s="17">
        <f t="shared" si="108"/>
        <v>27</v>
      </c>
      <c r="B300"/>
      <c r="C300" t="str">
        <f>$F295</f>
        <v>SHC of Chillicothe</v>
      </c>
      <c r="D300" s="3" t="str">
        <f t="shared" si="102"/>
        <v>T_BAD_DEBT - Tenant Bad Debt Expense</v>
      </c>
      <c r="E300"/>
      <c r="F300" s="24" t="str">
        <f>_xll.EVDES(D300)</f>
        <v>Tenant Bad Debt Expense</v>
      </c>
      <c r="G300" s="19">
        <f ca="1">SUMIFS(OFFSET('BPC Data'!$F:$F,0,Summary!G$2),'BPC Data'!$E:$E,Summary!$D300,'BPC Data'!$B:$B,Summary!$C300)</f>
        <v>13027</v>
      </c>
      <c r="H300" s="183">
        <f ca="1">SUMIFS(OFFSET('BPC Data'!$F:$F,0,Summary!H$2),'BPC Data'!$E:$E,Summary!$D300,'BPC Data'!$B:$B,Summary!$C300)</f>
        <v>13579</v>
      </c>
      <c r="I300" s="19">
        <f ca="1">SUMIFS(OFFSET('BPC Data'!$F:$F,0,Summary!I$2),'BPC Data'!$E:$E,Summary!$D300,'BPC Data'!$B:$B,Summary!$C300)</f>
        <v>1000</v>
      </c>
      <c r="J300" s="183">
        <f ca="1">SUMIFS(OFFSET('BPC Data'!$F:$F,0,Summary!J$2),'BPC Data'!$E:$E,Summary!$D300,'BPC Data'!$B:$B,Summary!$C300)</f>
        <v>46892</v>
      </c>
      <c r="K300" s="19">
        <f ca="1">SUMIFS(OFFSET('BPC Data'!$F:$F,0,Summary!K$2),'BPC Data'!$E:$E,Summary!$D300,'BPC Data'!$B:$B,Summary!$C300)</f>
        <v>15337</v>
      </c>
      <c r="L300" s="183">
        <f ca="1">SUMIFS(OFFSET('BPC Data'!$F:$F,0,Summary!L$2),'BPC Data'!$E:$E,Summary!$D300,'BPC Data'!$B:$B,Summary!$C300)</f>
        <v>16000</v>
      </c>
      <c r="M300" s="19">
        <f ca="1">SUMIFS(OFFSET('BPC Data'!$F:$F,0,Summary!M$2),'BPC Data'!$E:$E,Summary!$D300,'BPC Data'!$B:$B,Summary!$C300)</f>
        <v>0</v>
      </c>
      <c r="N300" s="183">
        <f ca="1">SUMIFS(OFFSET('BPC Data'!$F:$F,0,Summary!N$2),'BPC Data'!$E:$E,Summary!$D300,'BPC Data'!$B:$B,Summary!$C300)</f>
        <v>6899</v>
      </c>
      <c r="O300" s="19">
        <f ca="1">SUMIFS(OFFSET('BPC Data'!$F:$F,0,Summary!O$2),'BPC Data'!$E:$E,Summary!$D300,'BPC Data'!$B:$B,Summary!$C300)</f>
        <v>0</v>
      </c>
      <c r="P300" s="183">
        <f ca="1">SUMIFS(OFFSET('BPC Data'!$F:$F,0,Summary!P$2),'BPC Data'!$E:$E,Summary!$D300,'BPC Data'!$B:$B,Summary!$C300)</f>
        <v>10000</v>
      </c>
      <c r="Q300" s="19">
        <f ca="1">SUMIFS(OFFSET('BPC Data'!$F:$F,0,Summary!Q$2),'BPC Data'!$E:$E,Summary!$D300,'BPC Data'!$B:$B,Summary!$C300)</f>
        <v>10000</v>
      </c>
      <c r="R300" s="183">
        <f ca="1">SUMIFS(OFFSET('BPC Data'!$F:$F,0,Summary!R$2),'BPC Data'!$E:$E,Summary!$D300,'BPC Data'!$B:$B,Summary!$C300)</f>
        <v>7500</v>
      </c>
      <c r="S300" s="187">
        <f t="shared" ca="1" si="98"/>
        <v>140234</v>
      </c>
      <c r="T300" s="181"/>
    </row>
    <row r="301" spans="1:20" s="17" customFormat="1" outlineLevel="1" x14ac:dyDescent="0.25">
      <c r="A301" s="17">
        <f t="shared" si="108"/>
        <v>27</v>
      </c>
      <c r="B301"/>
      <c r="C301" t="str">
        <f>$F295</f>
        <v>SHC of Chillicothe</v>
      </c>
      <c r="D301" s="2" t="str">
        <f t="shared" si="102"/>
        <v>T_EBITDARM - EBITDARM</v>
      </c>
      <c r="E301"/>
      <c r="F301" s="24" t="str">
        <f>_xll.EVDES(D301)</f>
        <v>EBITDARM</v>
      </c>
      <c r="G301" s="19">
        <f ca="1">SUMIFS(OFFSET('BPC Data'!$F:$F,0,Summary!G$2),'BPC Data'!$E:$E,Summary!$D301,'BPC Data'!$B:$B,Summary!$C301)</f>
        <v>268706</v>
      </c>
      <c r="H301" s="183">
        <f ca="1">SUMIFS(OFFSET('BPC Data'!$F:$F,0,Summary!H$2),'BPC Data'!$E:$E,Summary!$D301,'BPC Data'!$B:$B,Summary!$C301)</f>
        <v>349955</v>
      </c>
      <c r="I301" s="19">
        <f ca="1">SUMIFS(OFFSET('BPC Data'!$F:$F,0,Summary!I$2),'BPC Data'!$E:$E,Summary!$D301,'BPC Data'!$B:$B,Summary!$C301)</f>
        <v>233108</v>
      </c>
      <c r="J301" s="183">
        <f ca="1">SUMIFS(OFFSET('BPC Data'!$F:$F,0,Summary!J$2),'BPC Data'!$E:$E,Summary!$D301,'BPC Data'!$B:$B,Summary!$C301)</f>
        <v>470015</v>
      </c>
      <c r="K301" s="19">
        <f ca="1">SUMIFS(OFFSET('BPC Data'!$F:$F,0,Summary!K$2),'BPC Data'!$E:$E,Summary!$D301,'BPC Data'!$B:$B,Summary!$C301)</f>
        <v>18687</v>
      </c>
      <c r="L301" s="183">
        <f ca="1">SUMIFS(OFFSET('BPC Data'!$F:$F,0,Summary!L$2),'BPC Data'!$E:$E,Summary!$D301,'BPC Data'!$B:$B,Summary!$C301)</f>
        <v>57042</v>
      </c>
      <c r="M301" s="19">
        <f ca="1">SUMIFS(OFFSET('BPC Data'!$F:$F,0,Summary!M$2),'BPC Data'!$E:$E,Summary!$D301,'BPC Data'!$B:$B,Summary!$C301)</f>
        <v>54936</v>
      </c>
      <c r="N301" s="183">
        <f ca="1">SUMIFS(OFFSET('BPC Data'!$F:$F,0,Summary!N$2),'BPC Data'!$E:$E,Summary!$D301,'BPC Data'!$B:$B,Summary!$C301)</f>
        <v>43857</v>
      </c>
      <c r="O301" s="19">
        <f ca="1">SUMIFS(OFFSET('BPC Data'!$F:$F,0,Summary!O$2),'BPC Data'!$E:$E,Summary!$D301,'BPC Data'!$B:$B,Summary!$C301)</f>
        <v>43500</v>
      </c>
      <c r="P301" s="183">
        <f ca="1">SUMIFS(OFFSET('BPC Data'!$F:$F,0,Summary!P$2),'BPC Data'!$E:$E,Summary!$D301,'BPC Data'!$B:$B,Summary!$C301)</f>
        <v>5795</v>
      </c>
      <c r="Q301" s="19">
        <f ca="1">SUMIFS(OFFSET('BPC Data'!$F:$F,0,Summary!Q$2),'BPC Data'!$E:$E,Summary!$D301,'BPC Data'!$B:$B,Summary!$C301)</f>
        <v>45737</v>
      </c>
      <c r="R301" s="183">
        <f ca="1">SUMIFS(OFFSET('BPC Data'!$F:$F,0,Summary!R$2),'BPC Data'!$E:$E,Summary!$D301,'BPC Data'!$B:$B,Summary!$C301)</f>
        <v>56612</v>
      </c>
      <c r="S301" s="187">
        <f t="shared" ca="1" si="98"/>
        <v>1647950</v>
      </c>
      <c r="T301" s="181"/>
    </row>
    <row r="302" spans="1:20" s="17" customFormat="1" outlineLevel="1" x14ac:dyDescent="0.25">
      <c r="A302" s="17">
        <f t="shared" si="108"/>
        <v>27</v>
      </c>
      <c r="B302"/>
      <c r="C302" t="str">
        <f>$F295</f>
        <v>SHC of Chillicothe</v>
      </c>
      <c r="D302" s="2" t="str">
        <f t="shared" si="102"/>
        <v>T_MGMT_FEE - Tenant Management Fee - Actual</v>
      </c>
      <c r="E302"/>
      <c r="F302" s="24" t="str">
        <f>_xll.EVDES(D302)</f>
        <v>Tenant Management Fee - Actual</v>
      </c>
      <c r="G302" s="19">
        <f ca="1">SUMIFS(OFFSET('BPC Data'!$F:$F,0,Summary!G$2),'BPC Data'!$E:$E,Summary!$D302,'BPC Data'!$B:$B,Summary!$C302)</f>
        <v>41521</v>
      </c>
      <c r="H302" s="183">
        <f ca="1">SUMIFS(OFFSET('BPC Data'!$F:$F,0,Summary!H$2),'BPC Data'!$E:$E,Summary!$D302,'BPC Data'!$B:$B,Summary!$C302)</f>
        <v>46508</v>
      </c>
      <c r="I302" s="19">
        <f ca="1">SUMIFS(OFFSET('BPC Data'!$F:$F,0,Summary!I$2),'BPC Data'!$E:$E,Summary!$D302,'BPC Data'!$B:$B,Summary!$C302)</f>
        <v>33872</v>
      </c>
      <c r="J302" s="183">
        <f ca="1">SUMIFS(OFFSET('BPC Data'!$F:$F,0,Summary!J$2),'BPC Data'!$E:$E,Summary!$D302,'BPC Data'!$B:$B,Summary!$C302)</f>
        <v>49172</v>
      </c>
      <c r="K302" s="19">
        <f ca="1">SUMIFS(OFFSET('BPC Data'!$F:$F,0,Summary!K$2),'BPC Data'!$E:$E,Summary!$D302,'BPC Data'!$B:$B,Summary!$C302)</f>
        <v>26608</v>
      </c>
      <c r="L302" s="183">
        <f ca="1">SUMIFS(OFFSET('BPC Data'!$F:$F,0,Summary!L$2),'BPC Data'!$E:$E,Summary!$D302,'BPC Data'!$B:$B,Summary!$C302)</f>
        <v>25428</v>
      </c>
      <c r="M302" s="19">
        <f ca="1">SUMIFS(OFFSET('BPC Data'!$F:$F,0,Summary!M$2),'BPC Data'!$E:$E,Summary!$D302,'BPC Data'!$B:$B,Summary!$C302)</f>
        <v>25992</v>
      </c>
      <c r="N302" s="183">
        <f ca="1">SUMIFS(OFFSET('BPC Data'!$F:$F,0,Summary!N$2),'BPC Data'!$E:$E,Summary!$D302,'BPC Data'!$B:$B,Summary!$C302)</f>
        <v>25949</v>
      </c>
      <c r="O302" s="19">
        <f ca="1">SUMIFS(OFFSET('BPC Data'!$F:$F,0,Summary!O$2),'BPC Data'!$E:$E,Summary!$D302,'BPC Data'!$B:$B,Summary!$C302)</f>
        <v>25359</v>
      </c>
      <c r="P302" s="183">
        <f ca="1">SUMIFS(OFFSET('BPC Data'!$F:$F,0,Summary!P$2),'BPC Data'!$E:$E,Summary!$D302,'BPC Data'!$B:$B,Summary!$C302)</f>
        <v>23127</v>
      </c>
      <c r="Q302" s="19">
        <f ca="1">SUMIFS(OFFSET('BPC Data'!$F:$F,0,Summary!Q$2),'BPC Data'!$E:$E,Summary!$D302,'BPC Data'!$B:$B,Summary!$C302)</f>
        <v>25769</v>
      </c>
      <c r="R302" s="183">
        <f ca="1">SUMIFS(OFFSET('BPC Data'!$F:$F,0,Summary!R$2),'BPC Data'!$E:$E,Summary!$D302,'BPC Data'!$B:$B,Summary!$C302)</f>
        <v>26286</v>
      </c>
      <c r="S302" s="187">
        <f t="shared" ca="1" si="98"/>
        <v>375591</v>
      </c>
      <c r="T302" s="181"/>
    </row>
    <row r="303" spans="1:20" s="17" customFormat="1" outlineLevel="1" x14ac:dyDescent="0.25">
      <c r="A303" s="17">
        <f t="shared" si="108"/>
        <v>27</v>
      </c>
      <c r="B303"/>
      <c r="C303" t="str">
        <f>$F295</f>
        <v>SHC of Chillicothe</v>
      </c>
      <c r="D303" s="1" t="str">
        <f t="shared" si="102"/>
        <v>T_EBITDAR - EBITDAR</v>
      </c>
      <c r="E303"/>
      <c r="F303" s="24" t="str">
        <f>_xll.EVDES(D303)</f>
        <v>EBITDAR</v>
      </c>
      <c r="G303" s="19">
        <f ca="1">SUMIFS(OFFSET('BPC Data'!$F:$F,0,Summary!G$2),'BPC Data'!$E:$E,Summary!$D303,'BPC Data'!$B:$B,Summary!$C303)</f>
        <v>227185</v>
      </c>
      <c r="H303" s="183">
        <f ca="1">SUMIFS(OFFSET('BPC Data'!$F:$F,0,Summary!H$2),'BPC Data'!$E:$E,Summary!$D303,'BPC Data'!$B:$B,Summary!$C303)</f>
        <v>303447</v>
      </c>
      <c r="I303" s="19">
        <f ca="1">SUMIFS(OFFSET('BPC Data'!$F:$F,0,Summary!I$2),'BPC Data'!$E:$E,Summary!$D303,'BPC Data'!$B:$B,Summary!$C303)</f>
        <v>199236</v>
      </c>
      <c r="J303" s="183">
        <f ca="1">SUMIFS(OFFSET('BPC Data'!$F:$F,0,Summary!J$2),'BPC Data'!$E:$E,Summary!$D303,'BPC Data'!$B:$B,Summary!$C303)</f>
        <v>420843</v>
      </c>
      <c r="K303" s="19">
        <f ca="1">SUMIFS(OFFSET('BPC Data'!$F:$F,0,Summary!K$2),'BPC Data'!$E:$E,Summary!$D303,'BPC Data'!$B:$B,Summary!$C303)</f>
        <v>-7921</v>
      </c>
      <c r="L303" s="183">
        <f ca="1">SUMIFS(OFFSET('BPC Data'!$F:$F,0,Summary!L$2),'BPC Data'!$E:$E,Summary!$D303,'BPC Data'!$B:$B,Summary!$C303)</f>
        <v>31614</v>
      </c>
      <c r="M303" s="19">
        <f ca="1">SUMIFS(OFFSET('BPC Data'!$F:$F,0,Summary!M$2),'BPC Data'!$E:$E,Summary!$D303,'BPC Data'!$B:$B,Summary!$C303)</f>
        <v>28944</v>
      </c>
      <c r="N303" s="183">
        <f ca="1">SUMIFS(OFFSET('BPC Data'!$F:$F,0,Summary!N$2),'BPC Data'!$E:$E,Summary!$D303,'BPC Data'!$B:$B,Summary!$C303)</f>
        <v>17908</v>
      </c>
      <c r="O303" s="19">
        <f ca="1">SUMIFS(OFFSET('BPC Data'!$F:$F,0,Summary!O$2),'BPC Data'!$E:$E,Summary!$D303,'BPC Data'!$B:$B,Summary!$C303)</f>
        <v>18141</v>
      </c>
      <c r="P303" s="183">
        <f ca="1">SUMIFS(OFFSET('BPC Data'!$F:$F,0,Summary!P$2),'BPC Data'!$E:$E,Summary!$D303,'BPC Data'!$B:$B,Summary!$C303)</f>
        <v>-17332</v>
      </c>
      <c r="Q303" s="19">
        <f ca="1">SUMIFS(OFFSET('BPC Data'!$F:$F,0,Summary!Q$2),'BPC Data'!$E:$E,Summary!$D303,'BPC Data'!$B:$B,Summary!$C303)</f>
        <v>19968</v>
      </c>
      <c r="R303" s="183">
        <f ca="1">SUMIFS(OFFSET('BPC Data'!$F:$F,0,Summary!R$2),'BPC Data'!$E:$E,Summary!$D303,'BPC Data'!$B:$B,Summary!$C303)</f>
        <v>30326</v>
      </c>
      <c r="S303" s="187">
        <f t="shared" ca="1" si="98"/>
        <v>1272359</v>
      </c>
      <c r="T303" s="181"/>
    </row>
    <row r="304" spans="1:20" s="17" customFormat="1" outlineLevel="1" x14ac:dyDescent="0.25">
      <c r="A304" s="17">
        <f t="shared" si="108"/>
        <v>27</v>
      </c>
      <c r="B304"/>
      <c r="C304" t="str">
        <f>$F295</f>
        <v>SHC of Chillicothe</v>
      </c>
      <c r="D304" s="1" t="str">
        <f t="shared" si="102"/>
        <v>T_RENT_EXP - Tenant Rent Expense</v>
      </c>
      <c r="E304"/>
      <c r="F304" s="24" t="str">
        <f>_xll.EVDES(D304)</f>
        <v>Tenant Rent Expense</v>
      </c>
      <c r="G304" s="19">
        <f ca="1">SUMIFS(OFFSET('BPC Data'!$F:$F,0,Summary!G$2),'BPC Data'!$E:$E,Summary!$D304,'BPC Data'!$B:$B,Summary!$C304)</f>
        <v>142321</v>
      </c>
      <c r="H304" s="183">
        <f ca="1">SUMIFS(OFFSET('BPC Data'!$F:$F,0,Summary!H$2),'BPC Data'!$E:$E,Summary!$D304,'BPC Data'!$B:$B,Summary!$C304)</f>
        <v>142321</v>
      </c>
      <c r="I304" s="19">
        <f ca="1">SUMIFS(OFFSET('BPC Data'!$F:$F,0,Summary!I$2),'BPC Data'!$E:$E,Summary!$D304,'BPC Data'!$B:$B,Summary!$C304)</f>
        <v>142321</v>
      </c>
      <c r="J304" s="183">
        <f ca="1">SUMIFS(OFFSET('BPC Data'!$F:$F,0,Summary!J$2),'BPC Data'!$E:$E,Summary!$D304,'BPC Data'!$B:$B,Summary!$C304)</f>
        <v>145879</v>
      </c>
      <c r="K304" s="19">
        <f ca="1">SUMIFS(OFFSET('BPC Data'!$F:$F,0,Summary!K$2),'BPC Data'!$E:$E,Summary!$D304,'BPC Data'!$B:$B,Summary!$C304)</f>
        <v>145879</v>
      </c>
      <c r="L304" s="183">
        <f ca="1">SUMIFS(OFFSET('BPC Data'!$F:$F,0,Summary!L$2),'BPC Data'!$E:$E,Summary!$D304,'BPC Data'!$B:$B,Summary!$C304)</f>
        <v>145879</v>
      </c>
      <c r="M304" s="19">
        <f ca="1">SUMIFS(OFFSET('BPC Data'!$F:$F,0,Summary!M$2),'BPC Data'!$E:$E,Summary!$D304,'BPC Data'!$B:$B,Summary!$C304)</f>
        <v>145879</v>
      </c>
      <c r="N304" s="183">
        <f ca="1">SUMIFS(OFFSET('BPC Data'!$F:$F,0,Summary!N$2),'BPC Data'!$E:$E,Summary!$D304,'BPC Data'!$B:$B,Summary!$C304)</f>
        <v>145879</v>
      </c>
      <c r="O304" s="19">
        <f ca="1">SUMIFS(OFFSET('BPC Data'!$F:$F,0,Summary!O$2),'BPC Data'!$E:$E,Summary!$D304,'BPC Data'!$B:$B,Summary!$C304)</f>
        <v>145879</v>
      </c>
      <c r="P304" s="183">
        <f ca="1">SUMIFS(OFFSET('BPC Data'!$F:$F,0,Summary!P$2),'BPC Data'!$E:$E,Summary!$D304,'BPC Data'!$B:$B,Summary!$C304)</f>
        <v>145879</v>
      </c>
      <c r="Q304" s="19">
        <f ca="1">SUMIFS(OFFSET('BPC Data'!$F:$F,0,Summary!Q$2),'BPC Data'!$E:$E,Summary!$D304,'BPC Data'!$B:$B,Summary!$C304)</f>
        <v>145879</v>
      </c>
      <c r="R304" s="183">
        <f ca="1">SUMIFS(OFFSET('BPC Data'!$F:$F,0,Summary!R$2),'BPC Data'!$E:$E,Summary!$D304,'BPC Data'!$B:$B,Summary!$C304)</f>
        <v>145879</v>
      </c>
      <c r="S304" s="187">
        <f t="shared" ca="1" si="98"/>
        <v>1739874</v>
      </c>
      <c r="T304" s="181"/>
    </row>
    <row r="305" spans="1:20" s="17" customFormat="1" outlineLevel="1" x14ac:dyDescent="0.25">
      <c r="A305" s="17">
        <f t="shared" si="108"/>
        <v>27</v>
      </c>
      <c r="B305"/>
      <c r="C305"/>
      <c r="D305" s="1" t="str">
        <f t="shared" si="102"/>
        <v>x</v>
      </c>
      <c r="E305"/>
      <c r="F305" s="24" t="s">
        <v>0</v>
      </c>
      <c r="G305" s="12">
        <f ca="1">G303/G304</f>
        <v>1.5962858608357164</v>
      </c>
      <c r="H305" s="184">
        <f t="shared" ref="H305:I305" ca="1" si="109">H303/H304</f>
        <v>2.1321308872197355</v>
      </c>
      <c r="I305" s="12">
        <f t="shared" ca="1" si="109"/>
        <v>1.3999058466424492</v>
      </c>
      <c r="J305" s="184">
        <f t="shared" ref="J305:R305" ca="1" si="110">J303/J304</f>
        <v>2.8848771927419299</v>
      </c>
      <c r="K305" s="12">
        <f t="shared" ca="1" si="110"/>
        <v>-5.4298425407358152E-2</v>
      </c>
      <c r="L305" s="184">
        <f t="shared" ca="1" si="110"/>
        <v>0.21671385189095071</v>
      </c>
      <c r="M305" s="12">
        <f t="shared" ca="1" si="110"/>
        <v>0.19841101186599852</v>
      </c>
      <c r="N305" s="184">
        <f t="shared" ca="1" si="110"/>
        <v>0.12275927309619616</v>
      </c>
      <c r="O305" s="12">
        <f t="shared" ca="1" si="110"/>
        <v>0.12435648722571446</v>
      </c>
      <c r="P305" s="184">
        <f t="shared" ca="1" si="110"/>
        <v>-0.11881079524811659</v>
      </c>
      <c r="Q305" s="12">
        <f t="shared" ca="1" si="110"/>
        <v>0.13688056540009186</v>
      </c>
      <c r="R305" s="184">
        <f t="shared" ca="1" si="110"/>
        <v>0.20788461670288388</v>
      </c>
      <c r="S305" s="187">
        <f t="shared" ca="1" si="98"/>
        <v>8.8470963729661936</v>
      </c>
      <c r="T305" s="181"/>
    </row>
    <row r="306" spans="1:20" s="17" customFormat="1" outlineLevel="1" x14ac:dyDescent="0.25">
      <c r="A306" s="17">
        <f>IF(AND(D306&lt;&gt;"",C306=""),A305+1,A305)</f>
        <v>28</v>
      </c>
      <c r="B306" s="5"/>
      <c r="C306" s="5"/>
      <c r="D306" s="5" t="str">
        <f t="shared" si="102"/>
        <v>x</v>
      </c>
      <c r="E306" s="5"/>
      <c r="F306" s="23" t="str">
        <f>INDEX(PropertyList!$D:$D,MATCH(Summary!$A306,PropertyList!$C:$C,0))</f>
        <v>SHC of Coshocton</v>
      </c>
      <c r="G306" s="11"/>
      <c r="H306" s="182"/>
      <c r="I306" s="11"/>
      <c r="J306" s="182"/>
      <c r="K306" s="11"/>
      <c r="L306" s="182"/>
      <c r="M306" s="11"/>
      <c r="N306" s="182"/>
      <c r="O306" s="11"/>
      <c r="P306" s="182"/>
      <c r="Q306" s="11"/>
      <c r="R306" s="182"/>
      <c r="S306" s="187">
        <f t="shared" si="98"/>
        <v>0</v>
      </c>
      <c r="T306" s="181"/>
    </row>
    <row r="307" spans="1:20" s="17" customFormat="1" outlineLevel="1" x14ac:dyDescent="0.25">
      <c r="A307" s="17">
        <f>IF(AND(F307&lt;&gt;"",D307=""),A306+1,A306)</f>
        <v>28</v>
      </c>
      <c r="C307" t="str">
        <f>$F306</f>
        <v>SHC of Coshocton</v>
      </c>
      <c r="D307" s="3" t="str">
        <f t="shared" si="102"/>
        <v>PAY_PAT_DAYS - Total Payor Patient Days</v>
      </c>
      <c r="F307" s="24" t="str">
        <f>_xll.EVDES(D307)</f>
        <v>Total Payor Patient Days</v>
      </c>
      <c r="G307" s="19">
        <f ca="1">SUMIFS(OFFSET('BPC Data'!$F:$F,0,Summary!G$2),'BPC Data'!$E:$E,Summary!$D307,'BPC Data'!$B:$B,Summary!$C307)</f>
        <v>1018</v>
      </c>
      <c r="H307" s="183">
        <f ca="1">SUMIFS(OFFSET('BPC Data'!$F:$F,0,Summary!H$2),'BPC Data'!$E:$E,Summary!$D307,'BPC Data'!$B:$B,Summary!$C307)</f>
        <v>1040</v>
      </c>
      <c r="I307" s="19">
        <f ca="1">SUMIFS(OFFSET('BPC Data'!$F:$F,0,Summary!I$2),'BPC Data'!$E:$E,Summary!$D307,'BPC Data'!$B:$B,Summary!$C307)</f>
        <v>1118</v>
      </c>
      <c r="J307" s="183">
        <f ca="1">SUMIFS(OFFSET('BPC Data'!$F:$F,0,Summary!J$2),'BPC Data'!$E:$E,Summary!$D307,'BPC Data'!$B:$B,Summary!$C307)</f>
        <v>1236</v>
      </c>
      <c r="K307" s="19">
        <f ca="1">SUMIFS(OFFSET('BPC Data'!$F:$F,0,Summary!K$2),'BPC Data'!$E:$E,Summary!$D307,'BPC Data'!$B:$B,Summary!$C307)</f>
        <v>1202</v>
      </c>
      <c r="L307" s="183">
        <f ca="1">SUMIFS(OFFSET('BPC Data'!$F:$F,0,Summary!L$2),'BPC Data'!$E:$E,Summary!$D307,'BPC Data'!$B:$B,Summary!$C307)</f>
        <v>1178</v>
      </c>
      <c r="M307" s="19">
        <f ca="1">SUMIFS(OFFSET('BPC Data'!$F:$F,0,Summary!M$2),'BPC Data'!$E:$E,Summary!$D307,'BPC Data'!$B:$B,Summary!$C307)</f>
        <v>1224</v>
      </c>
      <c r="N307" s="183">
        <f ca="1">SUMIFS(OFFSET('BPC Data'!$F:$F,0,Summary!N$2),'BPC Data'!$E:$E,Summary!$D307,'BPC Data'!$B:$B,Summary!$C307)</f>
        <v>1209</v>
      </c>
      <c r="O307" s="19">
        <f ca="1">SUMIFS(OFFSET('BPC Data'!$F:$F,0,Summary!O$2),'BPC Data'!$E:$E,Summary!$D307,'BPC Data'!$B:$B,Summary!$C307)</f>
        <v>1296</v>
      </c>
      <c r="P307" s="183">
        <f ca="1">SUMIFS(OFFSET('BPC Data'!$F:$F,0,Summary!P$2),'BPC Data'!$E:$E,Summary!$D307,'BPC Data'!$B:$B,Summary!$C307)</f>
        <v>1277</v>
      </c>
      <c r="Q307" s="19">
        <f ca="1">SUMIFS(OFFSET('BPC Data'!$F:$F,0,Summary!Q$2),'BPC Data'!$E:$E,Summary!$D307,'BPC Data'!$B:$B,Summary!$C307)</f>
        <v>1365</v>
      </c>
      <c r="R307" s="183">
        <f ca="1">SUMIFS(OFFSET('BPC Data'!$F:$F,0,Summary!R$2),'BPC Data'!$E:$E,Summary!$D307,'BPC Data'!$B:$B,Summary!$C307)</f>
        <v>1404</v>
      </c>
      <c r="S307" s="187">
        <f t="shared" ca="1" si="98"/>
        <v>14567</v>
      </c>
      <c r="T307" s="181"/>
    </row>
    <row r="308" spans="1:20" s="17" customFormat="1" outlineLevel="1" x14ac:dyDescent="0.25">
      <c r="A308" s="17">
        <f t="shared" ref="A308:A316" si="111">IF(AND(F308&lt;&gt;"",D308=""),A307+1,A307)</f>
        <v>28</v>
      </c>
      <c r="C308" t="str">
        <f>$F306</f>
        <v>SHC of Coshocton</v>
      </c>
      <c r="D308" s="3" t="str">
        <f t="shared" si="102"/>
        <v>A_BEDS_TOTAL - Total Available Beds</v>
      </c>
      <c r="F308" s="24" t="str">
        <f>_xll.EVDES(D308)</f>
        <v>Total Available Beds</v>
      </c>
      <c r="G308" s="19">
        <f ca="1">SUMIFS(OFFSET('BPC Data'!$F:$F,0,Summary!G$2),'BPC Data'!$E:$E,Summary!$D308,'BPC Data'!$B:$B,Summary!$C308)</f>
        <v>83</v>
      </c>
      <c r="H308" s="183">
        <f ca="1">SUMIFS(OFFSET('BPC Data'!$F:$F,0,Summary!H$2),'BPC Data'!$E:$E,Summary!$D308,'BPC Data'!$B:$B,Summary!$C308)</f>
        <v>83</v>
      </c>
      <c r="I308" s="19">
        <f ca="1">SUMIFS(OFFSET('BPC Data'!$F:$F,0,Summary!I$2),'BPC Data'!$E:$E,Summary!$D308,'BPC Data'!$B:$B,Summary!$C308)</f>
        <v>83</v>
      </c>
      <c r="J308" s="183">
        <f ca="1">SUMIFS(OFFSET('BPC Data'!$F:$F,0,Summary!J$2),'BPC Data'!$E:$E,Summary!$D308,'BPC Data'!$B:$B,Summary!$C308)</f>
        <v>83</v>
      </c>
      <c r="K308" s="19">
        <f ca="1">SUMIFS(OFFSET('BPC Data'!$F:$F,0,Summary!K$2),'BPC Data'!$E:$E,Summary!$D308,'BPC Data'!$B:$B,Summary!$C308)</f>
        <v>83</v>
      </c>
      <c r="L308" s="183">
        <f ca="1">SUMIFS(OFFSET('BPC Data'!$F:$F,0,Summary!L$2),'BPC Data'!$E:$E,Summary!$D308,'BPC Data'!$B:$B,Summary!$C308)</f>
        <v>83</v>
      </c>
      <c r="M308" s="19">
        <f ca="1">SUMIFS(OFFSET('BPC Data'!$F:$F,0,Summary!M$2),'BPC Data'!$E:$E,Summary!$D308,'BPC Data'!$B:$B,Summary!$C308)</f>
        <v>83</v>
      </c>
      <c r="N308" s="183">
        <f ca="1">SUMIFS(OFFSET('BPC Data'!$F:$F,0,Summary!N$2),'BPC Data'!$E:$E,Summary!$D308,'BPC Data'!$B:$B,Summary!$C308)</f>
        <v>83</v>
      </c>
      <c r="O308" s="19">
        <f ca="1">SUMIFS(OFFSET('BPC Data'!$F:$F,0,Summary!O$2),'BPC Data'!$E:$E,Summary!$D308,'BPC Data'!$B:$B,Summary!$C308)</f>
        <v>83</v>
      </c>
      <c r="P308" s="183">
        <f ca="1">SUMIFS(OFFSET('BPC Data'!$F:$F,0,Summary!P$2),'BPC Data'!$E:$E,Summary!$D308,'BPC Data'!$B:$B,Summary!$C308)</f>
        <v>83</v>
      </c>
      <c r="Q308" s="19">
        <f ca="1">SUMIFS(OFFSET('BPC Data'!$F:$F,0,Summary!Q$2),'BPC Data'!$E:$E,Summary!$D308,'BPC Data'!$B:$B,Summary!$C308)</f>
        <v>83</v>
      </c>
      <c r="R308" s="183">
        <f ca="1">SUMIFS(OFFSET('BPC Data'!$F:$F,0,Summary!R$2),'BPC Data'!$E:$E,Summary!$D308,'BPC Data'!$B:$B,Summary!$C308)</f>
        <v>83</v>
      </c>
      <c r="S308" s="187">
        <f ca="1">R308</f>
        <v>83</v>
      </c>
      <c r="T308" s="181"/>
    </row>
    <row r="309" spans="1:20" s="17" customFormat="1" outlineLevel="1" x14ac:dyDescent="0.25">
      <c r="A309" s="17">
        <f t="shared" si="111"/>
        <v>28</v>
      </c>
      <c r="B309"/>
      <c r="C309" t="str">
        <f>$F306</f>
        <v>SHC of Coshocton</v>
      </c>
      <c r="D309" s="3" t="str">
        <f t="shared" si="102"/>
        <v>T_REVENUES - Total Tenant Revenues</v>
      </c>
      <c r="E309"/>
      <c r="F309" s="24" t="str">
        <f>_xll.EVDES(D309)</f>
        <v>Total Tenant Revenues</v>
      </c>
      <c r="G309" s="19">
        <f ca="1">SUMIFS(OFFSET('BPC Data'!$F:$F,0,Summary!G$2),'BPC Data'!$E:$E,Summary!$D309,'BPC Data'!$B:$B,Summary!$C309)</f>
        <v>261211</v>
      </c>
      <c r="H309" s="183">
        <f ca="1">SUMIFS(OFFSET('BPC Data'!$F:$F,0,Summary!H$2),'BPC Data'!$E:$E,Summary!$D309,'BPC Data'!$B:$B,Summary!$C309)</f>
        <v>403779</v>
      </c>
      <c r="I309" s="19">
        <f ca="1">SUMIFS(OFFSET('BPC Data'!$F:$F,0,Summary!I$2),'BPC Data'!$E:$E,Summary!$D309,'BPC Data'!$B:$B,Summary!$C309)</f>
        <v>321178</v>
      </c>
      <c r="J309" s="183">
        <f ca="1">SUMIFS(OFFSET('BPC Data'!$F:$F,0,Summary!J$2),'BPC Data'!$E:$E,Summary!$D309,'BPC Data'!$B:$B,Summary!$C309)</f>
        <v>467786</v>
      </c>
      <c r="K309" s="19">
        <f ca="1">SUMIFS(OFFSET('BPC Data'!$F:$F,0,Summary!K$2),'BPC Data'!$E:$E,Summary!$D309,'BPC Data'!$B:$B,Summary!$C309)</f>
        <v>317756</v>
      </c>
      <c r="L309" s="183">
        <f ca="1">SUMIFS(OFFSET('BPC Data'!$F:$F,0,Summary!L$2),'BPC Data'!$E:$E,Summary!$D309,'BPC Data'!$B:$B,Summary!$C309)</f>
        <v>301570</v>
      </c>
      <c r="M309" s="19">
        <f ca="1">SUMIFS(OFFSET('BPC Data'!$F:$F,0,Summary!M$2),'BPC Data'!$E:$E,Summary!$D309,'BPC Data'!$B:$B,Summary!$C309)</f>
        <v>311164</v>
      </c>
      <c r="N309" s="183">
        <f ca="1">SUMIFS(OFFSET('BPC Data'!$F:$F,0,Summary!N$2),'BPC Data'!$E:$E,Summary!$D309,'BPC Data'!$B:$B,Summary!$C309)</f>
        <v>314501</v>
      </c>
      <c r="O309" s="19">
        <f ca="1">SUMIFS(OFFSET('BPC Data'!$F:$F,0,Summary!O$2),'BPC Data'!$E:$E,Summary!$D309,'BPC Data'!$B:$B,Summary!$C309)</f>
        <v>314148</v>
      </c>
      <c r="P309" s="183">
        <f ca="1">SUMIFS(OFFSET('BPC Data'!$F:$F,0,Summary!P$2),'BPC Data'!$E:$E,Summary!$D309,'BPC Data'!$B:$B,Summary!$C309)</f>
        <v>294675</v>
      </c>
      <c r="Q309" s="19">
        <f ca="1">SUMIFS(OFFSET('BPC Data'!$F:$F,0,Summary!Q$2),'BPC Data'!$E:$E,Summary!$D309,'BPC Data'!$B:$B,Summary!$C309)</f>
        <v>333475</v>
      </c>
      <c r="R309" s="183">
        <f ca="1">SUMIFS(OFFSET('BPC Data'!$F:$F,0,Summary!R$2),'BPC Data'!$E:$E,Summary!$D309,'BPC Data'!$B:$B,Summary!$C309)</f>
        <v>367705</v>
      </c>
      <c r="S309" s="187">
        <f t="shared" ca="1" si="98"/>
        <v>4008948</v>
      </c>
      <c r="T309" s="181"/>
    </row>
    <row r="310" spans="1:20" s="17" customFormat="1" outlineLevel="1" x14ac:dyDescent="0.25">
      <c r="A310" s="17">
        <f t="shared" si="111"/>
        <v>28</v>
      </c>
      <c r="B310"/>
      <c r="C310" t="str">
        <f>$F306</f>
        <v>SHC of Coshocton</v>
      </c>
      <c r="D310" s="3" t="str">
        <f t="shared" si="102"/>
        <v>T_OPEX - Tenant Operating Expenses</v>
      </c>
      <c r="E310"/>
      <c r="F310" s="24" t="str">
        <f>_xll.EVDES(D310)</f>
        <v>Tenant Operating Expenses</v>
      </c>
      <c r="G310" s="19">
        <f ca="1">SUMIFS(OFFSET('BPC Data'!$F:$F,0,Summary!G$2),'BPC Data'!$E:$E,Summary!$D310,'BPC Data'!$B:$B,Summary!$C310)</f>
        <v>311676</v>
      </c>
      <c r="H310" s="183">
        <f ca="1">SUMIFS(OFFSET('BPC Data'!$F:$F,0,Summary!H$2),'BPC Data'!$E:$E,Summary!$D310,'BPC Data'!$B:$B,Summary!$C310)</f>
        <v>312936</v>
      </c>
      <c r="I310" s="19">
        <f ca="1">SUMIFS(OFFSET('BPC Data'!$F:$F,0,Summary!I$2),'BPC Data'!$E:$E,Summary!$D310,'BPC Data'!$B:$B,Summary!$C310)</f>
        <v>316987</v>
      </c>
      <c r="J310" s="183">
        <f ca="1">SUMIFS(OFFSET('BPC Data'!$F:$F,0,Summary!J$2),'BPC Data'!$E:$E,Summary!$D310,'BPC Data'!$B:$B,Summary!$C310)</f>
        <v>324633</v>
      </c>
      <c r="K310" s="19">
        <f ca="1">SUMIFS(OFFSET('BPC Data'!$F:$F,0,Summary!K$2),'BPC Data'!$E:$E,Summary!$D310,'BPC Data'!$B:$B,Summary!$C310)</f>
        <v>328849</v>
      </c>
      <c r="L310" s="183">
        <f ca="1">SUMIFS(OFFSET('BPC Data'!$F:$F,0,Summary!L$2),'BPC Data'!$E:$E,Summary!$D310,'BPC Data'!$B:$B,Summary!$C310)</f>
        <v>305789</v>
      </c>
      <c r="M310" s="19">
        <f ca="1">SUMIFS(OFFSET('BPC Data'!$F:$F,0,Summary!M$2),'BPC Data'!$E:$E,Summary!$D310,'BPC Data'!$B:$B,Summary!$C310)</f>
        <v>331892</v>
      </c>
      <c r="N310" s="183">
        <f ca="1">SUMIFS(OFFSET('BPC Data'!$F:$F,0,Summary!N$2),'BPC Data'!$E:$E,Summary!$D310,'BPC Data'!$B:$B,Summary!$C310)</f>
        <v>306837</v>
      </c>
      <c r="O310" s="19">
        <f ca="1">SUMIFS(OFFSET('BPC Data'!$F:$F,0,Summary!O$2),'BPC Data'!$E:$E,Summary!$D310,'BPC Data'!$B:$B,Summary!$C310)</f>
        <v>331705</v>
      </c>
      <c r="P310" s="183">
        <f ca="1">SUMIFS(OFFSET('BPC Data'!$F:$F,0,Summary!P$2),'BPC Data'!$E:$E,Summary!$D310,'BPC Data'!$B:$B,Summary!$C310)</f>
        <v>347457</v>
      </c>
      <c r="Q310" s="19">
        <f ca="1">SUMIFS(OFFSET('BPC Data'!$F:$F,0,Summary!Q$2),'BPC Data'!$E:$E,Summary!$D310,'BPC Data'!$B:$B,Summary!$C310)</f>
        <v>351196</v>
      </c>
      <c r="R310" s="183">
        <f ca="1">SUMIFS(OFFSET('BPC Data'!$F:$F,0,Summary!R$2),'BPC Data'!$E:$E,Summary!$D310,'BPC Data'!$B:$B,Summary!$C310)</f>
        <v>363717</v>
      </c>
      <c r="S310" s="187">
        <f t="shared" ca="1" si="98"/>
        <v>3933674</v>
      </c>
      <c r="T310" s="181"/>
    </row>
    <row r="311" spans="1:20" s="17" customFormat="1" outlineLevel="1" x14ac:dyDescent="0.25">
      <c r="A311" s="17">
        <f t="shared" si="111"/>
        <v>28</v>
      </c>
      <c r="B311"/>
      <c r="C311" t="str">
        <f>$F306</f>
        <v>SHC of Coshocton</v>
      </c>
      <c r="D311" s="3" t="str">
        <f t="shared" si="102"/>
        <v>T_BAD_DEBT - Tenant Bad Debt Expense</v>
      </c>
      <c r="E311"/>
      <c r="F311" s="24" t="str">
        <f>_xll.EVDES(D311)</f>
        <v>Tenant Bad Debt Expense</v>
      </c>
      <c r="G311" s="19">
        <f ca="1">SUMIFS(OFFSET('BPC Data'!$F:$F,0,Summary!G$2),'BPC Data'!$E:$E,Summary!$D311,'BPC Data'!$B:$B,Summary!$C311)</f>
        <v>4517</v>
      </c>
      <c r="H311" s="183">
        <f ca="1">SUMIFS(OFFSET('BPC Data'!$F:$F,0,Summary!H$2),'BPC Data'!$E:$E,Summary!$D311,'BPC Data'!$B:$B,Summary!$C311)</f>
        <v>7302</v>
      </c>
      <c r="I311" s="19">
        <f ca="1">SUMIFS(OFFSET('BPC Data'!$F:$F,0,Summary!I$2),'BPC Data'!$E:$E,Summary!$D311,'BPC Data'!$B:$B,Summary!$C311)</f>
        <v>18000</v>
      </c>
      <c r="J311" s="183">
        <f ca="1">SUMIFS(OFFSET('BPC Data'!$F:$F,0,Summary!J$2),'BPC Data'!$E:$E,Summary!$D311,'BPC Data'!$B:$B,Summary!$C311)</f>
        <v>51118</v>
      </c>
      <c r="K311" s="19">
        <f ca="1">SUMIFS(OFFSET('BPC Data'!$F:$F,0,Summary!K$2),'BPC Data'!$E:$E,Summary!$D311,'BPC Data'!$B:$B,Summary!$C311)</f>
        <v>5805</v>
      </c>
      <c r="L311" s="183">
        <f ca="1">SUMIFS(OFFSET('BPC Data'!$F:$F,0,Summary!L$2),'BPC Data'!$E:$E,Summary!$D311,'BPC Data'!$B:$B,Summary!$C311)</f>
        <v>8000</v>
      </c>
      <c r="M311" s="19">
        <f ca="1">SUMIFS(OFFSET('BPC Data'!$F:$F,0,Summary!M$2),'BPC Data'!$E:$E,Summary!$D311,'BPC Data'!$B:$B,Summary!$C311)</f>
        <v>1140</v>
      </c>
      <c r="N311" s="183">
        <f ca="1">SUMIFS(OFFSET('BPC Data'!$F:$F,0,Summary!N$2),'BPC Data'!$E:$E,Summary!$D311,'BPC Data'!$B:$B,Summary!$C311)</f>
        <v>6670</v>
      </c>
      <c r="O311" s="19">
        <f ca="1">SUMIFS(OFFSET('BPC Data'!$F:$F,0,Summary!O$2),'BPC Data'!$E:$E,Summary!$D311,'BPC Data'!$B:$B,Summary!$C311)</f>
        <v>0</v>
      </c>
      <c r="P311" s="183">
        <f ca="1">SUMIFS(OFFSET('BPC Data'!$F:$F,0,Summary!P$2),'BPC Data'!$E:$E,Summary!$D311,'BPC Data'!$B:$B,Summary!$C311)</f>
        <v>0</v>
      </c>
      <c r="Q311" s="19">
        <f ca="1">SUMIFS(OFFSET('BPC Data'!$F:$F,0,Summary!Q$2),'BPC Data'!$E:$E,Summary!$D311,'BPC Data'!$B:$B,Summary!$C311)</f>
        <v>7500</v>
      </c>
      <c r="R311" s="183">
        <f ca="1">SUMIFS(OFFSET('BPC Data'!$F:$F,0,Summary!R$2),'BPC Data'!$E:$E,Summary!$D311,'BPC Data'!$B:$B,Summary!$C311)</f>
        <v>10000</v>
      </c>
      <c r="S311" s="187">
        <f t="shared" ca="1" si="98"/>
        <v>120052</v>
      </c>
      <c r="T311" s="181"/>
    </row>
    <row r="312" spans="1:20" s="17" customFormat="1" outlineLevel="1" x14ac:dyDescent="0.25">
      <c r="A312" s="17">
        <f t="shared" si="111"/>
        <v>28</v>
      </c>
      <c r="B312"/>
      <c r="C312" t="str">
        <f>$F306</f>
        <v>SHC of Coshocton</v>
      </c>
      <c r="D312" s="2" t="str">
        <f t="shared" si="102"/>
        <v>T_EBITDARM - EBITDARM</v>
      </c>
      <c r="E312"/>
      <c r="F312" s="24" t="str">
        <f>_xll.EVDES(D312)</f>
        <v>EBITDARM</v>
      </c>
      <c r="G312" s="19">
        <f ca="1">SUMIFS(OFFSET('BPC Data'!$F:$F,0,Summary!G$2),'BPC Data'!$E:$E,Summary!$D312,'BPC Data'!$B:$B,Summary!$C312)</f>
        <v>-50465</v>
      </c>
      <c r="H312" s="183">
        <f ca="1">SUMIFS(OFFSET('BPC Data'!$F:$F,0,Summary!H$2),'BPC Data'!$E:$E,Summary!$D312,'BPC Data'!$B:$B,Summary!$C312)</f>
        <v>90843</v>
      </c>
      <c r="I312" s="19">
        <f ca="1">SUMIFS(OFFSET('BPC Data'!$F:$F,0,Summary!I$2),'BPC Data'!$E:$E,Summary!$D312,'BPC Data'!$B:$B,Summary!$C312)</f>
        <v>4191</v>
      </c>
      <c r="J312" s="183">
        <f ca="1">SUMIFS(OFFSET('BPC Data'!$F:$F,0,Summary!J$2),'BPC Data'!$E:$E,Summary!$D312,'BPC Data'!$B:$B,Summary!$C312)</f>
        <v>143153</v>
      </c>
      <c r="K312" s="19">
        <f ca="1">SUMIFS(OFFSET('BPC Data'!$F:$F,0,Summary!K$2),'BPC Data'!$E:$E,Summary!$D312,'BPC Data'!$B:$B,Summary!$C312)</f>
        <v>-11093</v>
      </c>
      <c r="L312" s="183">
        <f ca="1">SUMIFS(OFFSET('BPC Data'!$F:$F,0,Summary!L$2),'BPC Data'!$E:$E,Summary!$D312,'BPC Data'!$B:$B,Summary!$C312)</f>
        <v>-4219</v>
      </c>
      <c r="M312" s="19">
        <f ca="1">SUMIFS(OFFSET('BPC Data'!$F:$F,0,Summary!M$2),'BPC Data'!$E:$E,Summary!$D312,'BPC Data'!$B:$B,Summary!$C312)</f>
        <v>-20728</v>
      </c>
      <c r="N312" s="183">
        <f ca="1">SUMIFS(OFFSET('BPC Data'!$F:$F,0,Summary!N$2),'BPC Data'!$E:$E,Summary!$D312,'BPC Data'!$B:$B,Summary!$C312)</f>
        <v>7664</v>
      </c>
      <c r="O312" s="19">
        <f ca="1">SUMIFS(OFFSET('BPC Data'!$F:$F,0,Summary!O$2),'BPC Data'!$E:$E,Summary!$D312,'BPC Data'!$B:$B,Summary!$C312)</f>
        <v>-17557</v>
      </c>
      <c r="P312" s="183">
        <f ca="1">SUMIFS(OFFSET('BPC Data'!$F:$F,0,Summary!P$2),'BPC Data'!$E:$E,Summary!$D312,'BPC Data'!$B:$B,Summary!$C312)</f>
        <v>-52782</v>
      </c>
      <c r="Q312" s="19">
        <f ca="1">SUMIFS(OFFSET('BPC Data'!$F:$F,0,Summary!Q$2),'BPC Data'!$E:$E,Summary!$D312,'BPC Data'!$B:$B,Summary!$C312)</f>
        <v>-17721</v>
      </c>
      <c r="R312" s="183">
        <f ca="1">SUMIFS(OFFSET('BPC Data'!$F:$F,0,Summary!R$2),'BPC Data'!$E:$E,Summary!$D312,'BPC Data'!$B:$B,Summary!$C312)</f>
        <v>3988</v>
      </c>
      <c r="S312" s="187">
        <f t="shared" ca="1" si="98"/>
        <v>75274</v>
      </c>
      <c r="T312" s="181"/>
    </row>
    <row r="313" spans="1:20" s="17" customFormat="1" outlineLevel="1" x14ac:dyDescent="0.25">
      <c r="A313" s="17">
        <f t="shared" si="111"/>
        <v>28</v>
      </c>
      <c r="B313"/>
      <c r="C313" t="str">
        <f>$F306</f>
        <v>SHC of Coshocton</v>
      </c>
      <c r="D313" s="2" t="str">
        <f t="shared" si="102"/>
        <v>T_MGMT_FEE - Tenant Management Fee - Actual</v>
      </c>
      <c r="E313"/>
      <c r="F313" s="24" t="str">
        <f>_xll.EVDES(D313)</f>
        <v>Tenant Management Fee - Actual</v>
      </c>
      <c r="G313" s="19">
        <f ca="1">SUMIFS(OFFSET('BPC Data'!$F:$F,0,Summary!G$2),'BPC Data'!$E:$E,Summary!$D313,'BPC Data'!$B:$B,Summary!$C313)</f>
        <v>13005</v>
      </c>
      <c r="H313" s="183">
        <f ca="1">SUMIFS(OFFSET('BPC Data'!$F:$F,0,Summary!H$2),'BPC Data'!$E:$E,Summary!$D313,'BPC Data'!$B:$B,Summary!$C313)</f>
        <v>20391</v>
      </c>
      <c r="I313" s="19">
        <f ca="1">SUMIFS(OFFSET('BPC Data'!$F:$F,0,Summary!I$2),'BPC Data'!$E:$E,Summary!$D313,'BPC Data'!$B:$B,Summary!$C313)</f>
        <v>16219</v>
      </c>
      <c r="J313" s="183">
        <f ca="1">SUMIFS(OFFSET('BPC Data'!$F:$F,0,Summary!J$2),'BPC Data'!$E:$E,Summary!$D313,'BPC Data'!$B:$B,Summary!$C313)</f>
        <v>23579</v>
      </c>
      <c r="K313" s="19">
        <f ca="1">SUMIFS(OFFSET('BPC Data'!$F:$F,0,Summary!K$2),'BPC Data'!$E:$E,Summary!$D313,'BPC Data'!$B:$B,Summary!$C313)</f>
        <v>16047</v>
      </c>
      <c r="L313" s="183">
        <f ca="1">SUMIFS(OFFSET('BPC Data'!$F:$F,0,Summary!L$2),'BPC Data'!$E:$E,Summary!$D313,'BPC Data'!$B:$B,Summary!$C313)</f>
        <v>15229</v>
      </c>
      <c r="M313" s="19">
        <f ca="1">SUMIFS(OFFSET('BPC Data'!$F:$F,0,Summary!M$2),'BPC Data'!$E:$E,Summary!$D313,'BPC Data'!$B:$B,Summary!$C313)</f>
        <v>15714</v>
      </c>
      <c r="N313" s="183">
        <f ca="1">SUMIFS(OFFSET('BPC Data'!$F:$F,0,Summary!N$2),'BPC Data'!$E:$E,Summary!$D313,'BPC Data'!$B:$B,Summary!$C313)</f>
        <v>15882</v>
      </c>
      <c r="O313" s="19">
        <f ca="1">SUMIFS(OFFSET('BPC Data'!$F:$F,0,Summary!O$2),'BPC Data'!$E:$E,Summary!$D313,'BPC Data'!$B:$B,Summary!$C313)</f>
        <v>15865</v>
      </c>
      <c r="P313" s="183">
        <f ca="1">SUMIFS(OFFSET('BPC Data'!$F:$F,0,Summary!P$2),'BPC Data'!$E:$E,Summary!$D313,'BPC Data'!$B:$B,Summary!$C313)</f>
        <v>14881</v>
      </c>
      <c r="Q313" s="19">
        <f ca="1">SUMIFS(OFFSET('BPC Data'!$F:$F,0,Summary!Q$2),'BPC Data'!$E:$E,Summary!$D313,'BPC Data'!$B:$B,Summary!$C313)</f>
        <v>16841</v>
      </c>
      <c r="R313" s="183">
        <f ca="1">SUMIFS(OFFSET('BPC Data'!$F:$F,0,Summary!R$2),'BPC Data'!$E:$E,Summary!$D313,'BPC Data'!$B:$B,Summary!$C313)</f>
        <v>18569</v>
      </c>
      <c r="S313" s="187">
        <f t="shared" ca="1" si="98"/>
        <v>202222</v>
      </c>
      <c r="T313" s="181"/>
    </row>
    <row r="314" spans="1:20" s="17" customFormat="1" outlineLevel="1" x14ac:dyDescent="0.25">
      <c r="A314" s="17">
        <f t="shared" si="111"/>
        <v>28</v>
      </c>
      <c r="B314"/>
      <c r="C314" t="str">
        <f>$F306</f>
        <v>SHC of Coshocton</v>
      </c>
      <c r="D314" s="1" t="str">
        <f t="shared" si="102"/>
        <v>T_EBITDAR - EBITDAR</v>
      </c>
      <c r="E314"/>
      <c r="F314" s="24" t="str">
        <f>_xll.EVDES(D314)</f>
        <v>EBITDAR</v>
      </c>
      <c r="G314" s="19">
        <f ca="1">SUMIFS(OFFSET('BPC Data'!$F:$F,0,Summary!G$2),'BPC Data'!$E:$E,Summary!$D314,'BPC Data'!$B:$B,Summary!$C314)</f>
        <v>-63470</v>
      </c>
      <c r="H314" s="183">
        <f ca="1">SUMIFS(OFFSET('BPC Data'!$F:$F,0,Summary!H$2),'BPC Data'!$E:$E,Summary!$D314,'BPC Data'!$B:$B,Summary!$C314)</f>
        <v>70452</v>
      </c>
      <c r="I314" s="19">
        <f ca="1">SUMIFS(OFFSET('BPC Data'!$F:$F,0,Summary!I$2),'BPC Data'!$E:$E,Summary!$D314,'BPC Data'!$B:$B,Summary!$C314)</f>
        <v>-12028</v>
      </c>
      <c r="J314" s="183">
        <f ca="1">SUMIFS(OFFSET('BPC Data'!$F:$F,0,Summary!J$2),'BPC Data'!$E:$E,Summary!$D314,'BPC Data'!$B:$B,Summary!$C314)</f>
        <v>119574</v>
      </c>
      <c r="K314" s="19">
        <f ca="1">SUMIFS(OFFSET('BPC Data'!$F:$F,0,Summary!K$2),'BPC Data'!$E:$E,Summary!$D314,'BPC Data'!$B:$B,Summary!$C314)</f>
        <v>-27140</v>
      </c>
      <c r="L314" s="183">
        <f ca="1">SUMIFS(OFFSET('BPC Data'!$F:$F,0,Summary!L$2),'BPC Data'!$E:$E,Summary!$D314,'BPC Data'!$B:$B,Summary!$C314)</f>
        <v>-19448</v>
      </c>
      <c r="M314" s="19">
        <f ca="1">SUMIFS(OFFSET('BPC Data'!$F:$F,0,Summary!M$2),'BPC Data'!$E:$E,Summary!$D314,'BPC Data'!$B:$B,Summary!$C314)</f>
        <v>-36442</v>
      </c>
      <c r="N314" s="183">
        <f ca="1">SUMIFS(OFFSET('BPC Data'!$F:$F,0,Summary!N$2),'BPC Data'!$E:$E,Summary!$D314,'BPC Data'!$B:$B,Summary!$C314)</f>
        <v>-8218</v>
      </c>
      <c r="O314" s="19">
        <f ca="1">SUMIFS(OFFSET('BPC Data'!$F:$F,0,Summary!O$2),'BPC Data'!$E:$E,Summary!$D314,'BPC Data'!$B:$B,Summary!$C314)</f>
        <v>-33422</v>
      </c>
      <c r="P314" s="183">
        <f ca="1">SUMIFS(OFFSET('BPC Data'!$F:$F,0,Summary!P$2),'BPC Data'!$E:$E,Summary!$D314,'BPC Data'!$B:$B,Summary!$C314)</f>
        <v>-67663</v>
      </c>
      <c r="Q314" s="19">
        <f ca="1">SUMIFS(OFFSET('BPC Data'!$F:$F,0,Summary!Q$2),'BPC Data'!$E:$E,Summary!$D314,'BPC Data'!$B:$B,Summary!$C314)</f>
        <v>-34562</v>
      </c>
      <c r="R314" s="183">
        <f ca="1">SUMIFS(OFFSET('BPC Data'!$F:$F,0,Summary!R$2),'BPC Data'!$E:$E,Summary!$D314,'BPC Data'!$B:$B,Summary!$C314)</f>
        <v>-14581</v>
      </c>
      <c r="S314" s="187">
        <f t="shared" ca="1" si="98"/>
        <v>-126948</v>
      </c>
      <c r="T314" s="181"/>
    </row>
    <row r="315" spans="1:20" s="17" customFormat="1" outlineLevel="1" x14ac:dyDescent="0.25">
      <c r="A315" s="17">
        <f t="shared" si="111"/>
        <v>28</v>
      </c>
      <c r="B315"/>
      <c r="C315" t="str">
        <f>$F306</f>
        <v>SHC of Coshocton</v>
      </c>
      <c r="D315" s="1" t="str">
        <f t="shared" si="102"/>
        <v>T_RENT_EXP - Tenant Rent Expense</v>
      </c>
      <c r="E315"/>
      <c r="F315" s="24" t="str">
        <f>_xll.EVDES(D315)</f>
        <v>Tenant Rent Expense</v>
      </c>
      <c r="G315" s="19">
        <f ca="1">SUMIFS(OFFSET('BPC Data'!$F:$F,0,Summary!G$2),'BPC Data'!$E:$E,Summary!$D315,'BPC Data'!$B:$B,Summary!$C315)</f>
        <v>33316</v>
      </c>
      <c r="H315" s="183">
        <f ca="1">SUMIFS(OFFSET('BPC Data'!$F:$F,0,Summary!H$2),'BPC Data'!$E:$E,Summary!$D315,'BPC Data'!$B:$B,Summary!$C315)</f>
        <v>33316</v>
      </c>
      <c r="I315" s="19">
        <f ca="1">SUMIFS(OFFSET('BPC Data'!$F:$F,0,Summary!I$2),'BPC Data'!$E:$E,Summary!$D315,'BPC Data'!$B:$B,Summary!$C315)</f>
        <v>33316</v>
      </c>
      <c r="J315" s="183">
        <f ca="1">SUMIFS(OFFSET('BPC Data'!$F:$F,0,Summary!J$2),'BPC Data'!$E:$E,Summary!$D315,'BPC Data'!$B:$B,Summary!$C315)</f>
        <v>34149</v>
      </c>
      <c r="K315" s="19">
        <f ca="1">SUMIFS(OFFSET('BPC Data'!$F:$F,0,Summary!K$2),'BPC Data'!$E:$E,Summary!$D315,'BPC Data'!$B:$B,Summary!$C315)</f>
        <v>34149</v>
      </c>
      <c r="L315" s="183">
        <f ca="1">SUMIFS(OFFSET('BPC Data'!$F:$F,0,Summary!L$2),'BPC Data'!$E:$E,Summary!$D315,'BPC Data'!$B:$B,Summary!$C315)</f>
        <v>34149</v>
      </c>
      <c r="M315" s="19">
        <f ca="1">SUMIFS(OFFSET('BPC Data'!$F:$F,0,Summary!M$2),'BPC Data'!$E:$E,Summary!$D315,'BPC Data'!$B:$B,Summary!$C315)</f>
        <v>34149</v>
      </c>
      <c r="N315" s="183">
        <f ca="1">SUMIFS(OFFSET('BPC Data'!$F:$F,0,Summary!N$2),'BPC Data'!$E:$E,Summary!$D315,'BPC Data'!$B:$B,Summary!$C315)</f>
        <v>34149</v>
      </c>
      <c r="O315" s="19">
        <f ca="1">SUMIFS(OFFSET('BPC Data'!$F:$F,0,Summary!O$2),'BPC Data'!$E:$E,Summary!$D315,'BPC Data'!$B:$B,Summary!$C315)</f>
        <v>34149</v>
      </c>
      <c r="P315" s="183">
        <f ca="1">SUMIFS(OFFSET('BPC Data'!$F:$F,0,Summary!P$2),'BPC Data'!$E:$E,Summary!$D315,'BPC Data'!$B:$B,Summary!$C315)</f>
        <v>34149</v>
      </c>
      <c r="Q315" s="19">
        <f ca="1">SUMIFS(OFFSET('BPC Data'!$F:$F,0,Summary!Q$2),'BPC Data'!$E:$E,Summary!$D315,'BPC Data'!$B:$B,Summary!$C315)</f>
        <v>34149</v>
      </c>
      <c r="R315" s="183">
        <f ca="1">SUMIFS(OFFSET('BPC Data'!$F:$F,0,Summary!R$2),'BPC Data'!$E:$E,Summary!$D315,'BPC Data'!$B:$B,Summary!$C315)</f>
        <v>34149</v>
      </c>
      <c r="S315" s="187">
        <f t="shared" ca="1" si="98"/>
        <v>407289</v>
      </c>
      <c r="T315" s="181"/>
    </row>
    <row r="316" spans="1:20" s="17" customFormat="1" outlineLevel="1" x14ac:dyDescent="0.25">
      <c r="A316" s="17">
        <f t="shared" si="111"/>
        <v>28</v>
      </c>
      <c r="B316"/>
      <c r="C316"/>
      <c r="D316" s="1" t="str">
        <f t="shared" si="102"/>
        <v>x</v>
      </c>
      <c r="E316"/>
      <c r="F316" s="24" t="s">
        <v>0</v>
      </c>
      <c r="G316" s="12">
        <f ca="1">G314/G315</f>
        <v>-1.905090647136511</v>
      </c>
      <c r="H316" s="184">
        <f t="shared" ref="H316:I316" ca="1" si="112">H314/H315</f>
        <v>2.1146596230039623</v>
      </c>
      <c r="I316" s="12">
        <f t="shared" ca="1" si="112"/>
        <v>-0.36102773442189939</v>
      </c>
      <c r="J316" s="184">
        <f t="shared" ref="J316:R316" ca="1" si="113">J314/J315</f>
        <v>3.501537380303962</v>
      </c>
      <c r="K316" s="12">
        <f t="shared" ca="1" si="113"/>
        <v>-0.7947524085624762</v>
      </c>
      <c r="L316" s="184">
        <f t="shared" ca="1" si="113"/>
        <v>-0.56950423145626516</v>
      </c>
      <c r="M316" s="12">
        <f t="shared" ca="1" si="113"/>
        <v>-1.06714691499019</v>
      </c>
      <c r="N316" s="184">
        <f t="shared" ca="1" si="113"/>
        <v>-0.24065126358019268</v>
      </c>
      <c r="O316" s="12">
        <f t="shared" ca="1" si="113"/>
        <v>-0.97871094321942076</v>
      </c>
      <c r="P316" s="184">
        <f t="shared" ca="1" si="113"/>
        <v>-1.9814050191806496</v>
      </c>
      <c r="Q316" s="12">
        <f t="shared" ca="1" si="113"/>
        <v>-1.0120940583911682</v>
      </c>
      <c r="R316" s="184">
        <f t="shared" ca="1" si="113"/>
        <v>-0.42698175642039299</v>
      </c>
      <c r="S316" s="187">
        <f t="shared" ca="1" si="98"/>
        <v>-3.7211679740512418</v>
      </c>
      <c r="T316" s="181"/>
    </row>
    <row r="317" spans="1:20" s="17" customFormat="1" outlineLevel="1" x14ac:dyDescent="0.25">
      <c r="A317" s="17">
        <f>IF(AND(D317&lt;&gt;"",C317=""),A316+1,A316)</f>
        <v>29</v>
      </c>
      <c r="B317" s="5"/>
      <c r="C317" s="5"/>
      <c r="D317" s="5" t="str">
        <f t="shared" si="102"/>
        <v>x</v>
      </c>
      <c r="E317" s="5"/>
      <c r="F317" s="23" t="str">
        <f>INDEX(PropertyList!$D:$D,MATCH(Summary!$A317,PropertyList!$C:$C,0))</f>
        <v>SHC of Bloomsburg Rehab &amp; Wellness Center</v>
      </c>
      <c r="G317" s="11"/>
      <c r="H317" s="182"/>
      <c r="I317" s="11"/>
      <c r="J317" s="182"/>
      <c r="K317" s="11"/>
      <c r="L317" s="182"/>
      <c r="M317" s="11"/>
      <c r="N317" s="182"/>
      <c r="O317" s="11"/>
      <c r="P317" s="182"/>
      <c r="Q317" s="11"/>
      <c r="R317" s="182"/>
      <c r="S317" s="187">
        <f t="shared" si="98"/>
        <v>0</v>
      </c>
      <c r="T317" s="181"/>
    </row>
    <row r="318" spans="1:20" s="17" customFormat="1" outlineLevel="1" x14ac:dyDescent="0.25">
      <c r="A318" s="17">
        <f>IF(AND(F318&lt;&gt;"",D318=""),A317+1,A317)</f>
        <v>29</v>
      </c>
      <c r="C318" t="str">
        <f>$F317</f>
        <v>SHC of Bloomsburg Rehab &amp; Wellness Center</v>
      </c>
      <c r="D318" s="3" t="str">
        <f t="shared" si="102"/>
        <v>PAY_PAT_DAYS - Total Payor Patient Days</v>
      </c>
      <c r="F318" s="24" t="str">
        <f>_xll.EVDES(D318)</f>
        <v>Total Payor Patient Days</v>
      </c>
      <c r="G318" s="19">
        <f ca="1">SUMIFS(OFFSET('BPC Data'!$F:$F,0,Summary!G$2),'BPC Data'!$E:$E,Summary!$D318,'BPC Data'!$B:$B,Summary!$C318)</f>
        <v>0</v>
      </c>
      <c r="H318" s="183">
        <f ca="1">SUMIFS(OFFSET('BPC Data'!$F:$F,0,Summary!H$2),'BPC Data'!$E:$E,Summary!$D318,'BPC Data'!$B:$B,Summary!$C318)</f>
        <v>0</v>
      </c>
      <c r="I318" s="19">
        <f ca="1">SUMIFS(OFFSET('BPC Data'!$F:$F,0,Summary!I$2),'BPC Data'!$E:$E,Summary!$D318,'BPC Data'!$B:$B,Summary!$C318)</f>
        <v>0</v>
      </c>
      <c r="J318" s="183">
        <f ca="1">SUMIFS(OFFSET('BPC Data'!$F:$F,0,Summary!J$2),'BPC Data'!$E:$E,Summary!$D318,'BPC Data'!$B:$B,Summary!$C318)</f>
        <v>0</v>
      </c>
      <c r="K318" s="19">
        <f ca="1">SUMIFS(OFFSET('BPC Data'!$F:$F,0,Summary!K$2),'BPC Data'!$E:$E,Summary!$D318,'BPC Data'!$B:$B,Summary!$C318)</f>
        <v>0</v>
      </c>
      <c r="L318" s="183">
        <f ca="1">SUMIFS(OFFSET('BPC Data'!$F:$F,0,Summary!L$2),'BPC Data'!$E:$E,Summary!$D318,'BPC Data'!$B:$B,Summary!$C318)</f>
        <v>0</v>
      </c>
      <c r="M318" s="19">
        <f ca="1">SUMIFS(OFFSET('BPC Data'!$F:$F,0,Summary!M$2),'BPC Data'!$E:$E,Summary!$D318,'BPC Data'!$B:$B,Summary!$C318)</f>
        <v>0</v>
      </c>
      <c r="N318" s="183">
        <f ca="1">SUMIFS(OFFSET('BPC Data'!$F:$F,0,Summary!N$2),'BPC Data'!$E:$E,Summary!$D318,'BPC Data'!$B:$B,Summary!$C318)</f>
        <v>0</v>
      </c>
      <c r="O318" s="19">
        <f ca="1">SUMIFS(OFFSET('BPC Data'!$F:$F,0,Summary!O$2),'BPC Data'!$E:$E,Summary!$D318,'BPC Data'!$B:$B,Summary!$C318)</f>
        <v>0</v>
      </c>
      <c r="P318" s="183">
        <f ca="1">SUMIFS(OFFSET('BPC Data'!$F:$F,0,Summary!P$2),'BPC Data'!$E:$E,Summary!$D318,'BPC Data'!$B:$B,Summary!$C318)</f>
        <v>0</v>
      </c>
      <c r="Q318" s="19">
        <f ca="1">SUMIFS(OFFSET('BPC Data'!$F:$F,0,Summary!Q$2),'BPC Data'!$E:$E,Summary!$D318,'BPC Data'!$B:$B,Summary!$C318)</f>
        <v>0</v>
      </c>
      <c r="R318" s="183">
        <f ca="1">SUMIFS(OFFSET('BPC Data'!$F:$F,0,Summary!R$2),'BPC Data'!$E:$E,Summary!$D318,'BPC Data'!$B:$B,Summary!$C318)</f>
        <v>0</v>
      </c>
      <c r="S318" s="187">
        <f t="shared" ca="1" si="98"/>
        <v>0</v>
      </c>
      <c r="T318" s="181"/>
    </row>
    <row r="319" spans="1:20" s="17" customFormat="1" outlineLevel="1" x14ac:dyDescent="0.25">
      <c r="A319" s="17">
        <f t="shared" ref="A319:A327" si="114">IF(AND(F319&lt;&gt;"",D319=""),A318+1,A318)</f>
        <v>29</v>
      </c>
      <c r="C319" t="str">
        <f>$F317</f>
        <v>SHC of Bloomsburg Rehab &amp; Wellness Center</v>
      </c>
      <c r="D319" s="3" t="str">
        <f t="shared" si="102"/>
        <v>A_BEDS_TOTAL - Total Available Beds</v>
      </c>
      <c r="F319" s="24" t="str">
        <f>_xll.EVDES(D319)</f>
        <v>Total Available Beds</v>
      </c>
      <c r="G319" s="19">
        <f ca="1">SUMIFS(OFFSET('BPC Data'!$F:$F,0,Summary!G$2),'BPC Data'!$E:$E,Summary!$D319,'BPC Data'!$B:$B,Summary!$C319)</f>
        <v>0</v>
      </c>
      <c r="H319" s="183">
        <f ca="1">SUMIFS(OFFSET('BPC Data'!$F:$F,0,Summary!H$2),'BPC Data'!$E:$E,Summary!$D319,'BPC Data'!$B:$B,Summary!$C319)</f>
        <v>0</v>
      </c>
      <c r="I319" s="19">
        <f ca="1">SUMIFS(OFFSET('BPC Data'!$F:$F,0,Summary!I$2),'BPC Data'!$E:$E,Summary!$D319,'BPC Data'!$B:$B,Summary!$C319)</f>
        <v>0</v>
      </c>
      <c r="J319" s="183">
        <f ca="1">SUMIFS(OFFSET('BPC Data'!$F:$F,0,Summary!J$2),'BPC Data'!$E:$E,Summary!$D319,'BPC Data'!$B:$B,Summary!$C319)</f>
        <v>0</v>
      </c>
      <c r="K319" s="19">
        <f ca="1">SUMIFS(OFFSET('BPC Data'!$F:$F,0,Summary!K$2),'BPC Data'!$E:$E,Summary!$D319,'BPC Data'!$B:$B,Summary!$C319)</f>
        <v>0</v>
      </c>
      <c r="L319" s="183">
        <f ca="1">SUMIFS(OFFSET('BPC Data'!$F:$F,0,Summary!L$2),'BPC Data'!$E:$E,Summary!$D319,'BPC Data'!$B:$B,Summary!$C319)</f>
        <v>0</v>
      </c>
      <c r="M319" s="19">
        <f ca="1">SUMIFS(OFFSET('BPC Data'!$F:$F,0,Summary!M$2),'BPC Data'!$E:$E,Summary!$D319,'BPC Data'!$B:$B,Summary!$C319)</f>
        <v>0</v>
      </c>
      <c r="N319" s="183">
        <f ca="1">SUMIFS(OFFSET('BPC Data'!$F:$F,0,Summary!N$2),'BPC Data'!$E:$E,Summary!$D319,'BPC Data'!$B:$B,Summary!$C319)</f>
        <v>0</v>
      </c>
      <c r="O319" s="19">
        <f ca="1">SUMIFS(OFFSET('BPC Data'!$F:$F,0,Summary!O$2),'BPC Data'!$E:$E,Summary!$D319,'BPC Data'!$B:$B,Summary!$C319)</f>
        <v>0</v>
      </c>
      <c r="P319" s="183">
        <f ca="1">SUMIFS(OFFSET('BPC Data'!$F:$F,0,Summary!P$2),'BPC Data'!$E:$E,Summary!$D319,'BPC Data'!$B:$B,Summary!$C319)</f>
        <v>0</v>
      </c>
      <c r="Q319" s="19">
        <f ca="1">SUMIFS(OFFSET('BPC Data'!$F:$F,0,Summary!Q$2),'BPC Data'!$E:$E,Summary!$D319,'BPC Data'!$B:$B,Summary!$C319)</f>
        <v>0</v>
      </c>
      <c r="R319" s="183">
        <f ca="1">SUMIFS(OFFSET('BPC Data'!$F:$F,0,Summary!R$2),'BPC Data'!$E:$E,Summary!$D319,'BPC Data'!$B:$B,Summary!$C319)</f>
        <v>0</v>
      </c>
      <c r="S319" s="187">
        <f ca="1">R319</f>
        <v>0</v>
      </c>
      <c r="T319" s="181"/>
    </row>
    <row r="320" spans="1:20" s="17" customFormat="1" outlineLevel="1" x14ac:dyDescent="0.25">
      <c r="A320" s="17">
        <f t="shared" si="114"/>
        <v>29</v>
      </c>
      <c r="B320"/>
      <c r="C320" t="str">
        <f>$F317</f>
        <v>SHC of Bloomsburg Rehab &amp; Wellness Center</v>
      </c>
      <c r="D320" s="3" t="str">
        <f t="shared" si="102"/>
        <v>T_REVENUES - Total Tenant Revenues</v>
      </c>
      <c r="E320"/>
      <c r="F320" s="24" t="str">
        <f>_xll.EVDES(D320)</f>
        <v>Total Tenant Revenues</v>
      </c>
      <c r="G320" s="19">
        <f ca="1">SUMIFS(OFFSET('BPC Data'!$F:$F,0,Summary!G$2),'BPC Data'!$E:$E,Summary!$D320,'BPC Data'!$B:$B,Summary!$C320)</f>
        <v>0</v>
      </c>
      <c r="H320" s="183">
        <f ca="1">SUMIFS(OFFSET('BPC Data'!$F:$F,0,Summary!H$2),'BPC Data'!$E:$E,Summary!$D320,'BPC Data'!$B:$B,Summary!$C320)</f>
        <v>0</v>
      </c>
      <c r="I320" s="19">
        <f ca="1">SUMIFS(OFFSET('BPC Data'!$F:$F,0,Summary!I$2),'BPC Data'!$E:$E,Summary!$D320,'BPC Data'!$B:$B,Summary!$C320)</f>
        <v>0</v>
      </c>
      <c r="J320" s="183">
        <f ca="1">SUMIFS(OFFSET('BPC Data'!$F:$F,0,Summary!J$2),'BPC Data'!$E:$E,Summary!$D320,'BPC Data'!$B:$B,Summary!$C320)</f>
        <v>0</v>
      </c>
      <c r="K320" s="19">
        <f ca="1">SUMIFS(OFFSET('BPC Data'!$F:$F,0,Summary!K$2),'BPC Data'!$E:$E,Summary!$D320,'BPC Data'!$B:$B,Summary!$C320)</f>
        <v>0</v>
      </c>
      <c r="L320" s="183">
        <f ca="1">SUMIFS(OFFSET('BPC Data'!$F:$F,0,Summary!L$2),'BPC Data'!$E:$E,Summary!$D320,'BPC Data'!$B:$B,Summary!$C320)</f>
        <v>0</v>
      </c>
      <c r="M320" s="19">
        <f ca="1">SUMIFS(OFFSET('BPC Data'!$F:$F,0,Summary!M$2),'BPC Data'!$E:$E,Summary!$D320,'BPC Data'!$B:$B,Summary!$C320)</f>
        <v>0</v>
      </c>
      <c r="N320" s="183">
        <f ca="1">SUMIFS(OFFSET('BPC Data'!$F:$F,0,Summary!N$2),'BPC Data'!$E:$E,Summary!$D320,'BPC Data'!$B:$B,Summary!$C320)</f>
        <v>0</v>
      </c>
      <c r="O320" s="19">
        <f ca="1">SUMIFS(OFFSET('BPC Data'!$F:$F,0,Summary!O$2),'BPC Data'!$E:$E,Summary!$D320,'BPC Data'!$B:$B,Summary!$C320)</f>
        <v>0</v>
      </c>
      <c r="P320" s="183">
        <f ca="1">SUMIFS(OFFSET('BPC Data'!$F:$F,0,Summary!P$2),'BPC Data'!$E:$E,Summary!$D320,'BPC Data'!$B:$B,Summary!$C320)</f>
        <v>0</v>
      </c>
      <c r="Q320" s="19">
        <f ca="1">SUMIFS(OFFSET('BPC Data'!$F:$F,0,Summary!Q$2),'BPC Data'!$E:$E,Summary!$D320,'BPC Data'!$B:$B,Summary!$C320)</f>
        <v>0</v>
      </c>
      <c r="R320" s="183">
        <f ca="1">SUMIFS(OFFSET('BPC Data'!$F:$F,0,Summary!R$2),'BPC Data'!$E:$E,Summary!$D320,'BPC Data'!$B:$B,Summary!$C320)</f>
        <v>0</v>
      </c>
      <c r="S320" s="187">
        <f t="shared" ca="1" si="98"/>
        <v>0</v>
      </c>
      <c r="T320" s="181"/>
    </row>
    <row r="321" spans="1:20" s="17" customFormat="1" outlineLevel="1" x14ac:dyDescent="0.25">
      <c r="A321" s="17">
        <f t="shared" si="114"/>
        <v>29</v>
      </c>
      <c r="B321"/>
      <c r="C321" t="str">
        <f>$F317</f>
        <v>SHC of Bloomsburg Rehab &amp; Wellness Center</v>
      </c>
      <c r="D321" s="3" t="str">
        <f t="shared" si="102"/>
        <v>T_OPEX - Tenant Operating Expenses</v>
      </c>
      <c r="E321"/>
      <c r="F321" s="24" t="str">
        <f>_xll.EVDES(D321)</f>
        <v>Tenant Operating Expenses</v>
      </c>
      <c r="G321" s="19">
        <f ca="1">SUMIFS(OFFSET('BPC Data'!$F:$F,0,Summary!G$2),'BPC Data'!$E:$E,Summary!$D321,'BPC Data'!$B:$B,Summary!$C321)</f>
        <v>0</v>
      </c>
      <c r="H321" s="183">
        <f ca="1">SUMIFS(OFFSET('BPC Data'!$F:$F,0,Summary!H$2),'BPC Data'!$E:$E,Summary!$D321,'BPC Data'!$B:$B,Summary!$C321)</f>
        <v>0</v>
      </c>
      <c r="I321" s="19">
        <f ca="1">SUMIFS(OFFSET('BPC Data'!$F:$F,0,Summary!I$2),'BPC Data'!$E:$E,Summary!$D321,'BPC Data'!$B:$B,Summary!$C321)</f>
        <v>0</v>
      </c>
      <c r="J321" s="183">
        <f ca="1">SUMIFS(OFFSET('BPC Data'!$F:$F,0,Summary!J$2),'BPC Data'!$E:$E,Summary!$D321,'BPC Data'!$B:$B,Summary!$C321)</f>
        <v>0</v>
      </c>
      <c r="K321" s="19">
        <f ca="1">SUMIFS(OFFSET('BPC Data'!$F:$F,0,Summary!K$2),'BPC Data'!$E:$E,Summary!$D321,'BPC Data'!$B:$B,Summary!$C321)</f>
        <v>0</v>
      </c>
      <c r="L321" s="183">
        <f ca="1">SUMIFS(OFFSET('BPC Data'!$F:$F,0,Summary!L$2),'BPC Data'!$E:$E,Summary!$D321,'BPC Data'!$B:$B,Summary!$C321)</f>
        <v>0</v>
      </c>
      <c r="M321" s="19">
        <f ca="1">SUMIFS(OFFSET('BPC Data'!$F:$F,0,Summary!M$2),'BPC Data'!$E:$E,Summary!$D321,'BPC Data'!$B:$B,Summary!$C321)</f>
        <v>0</v>
      </c>
      <c r="N321" s="183">
        <f ca="1">SUMIFS(OFFSET('BPC Data'!$F:$F,0,Summary!N$2),'BPC Data'!$E:$E,Summary!$D321,'BPC Data'!$B:$B,Summary!$C321)</f>
        <v>0</v>
      </c>
      <c r="O321" s="19">
        <f ca="1">SUMIFS(OFFSET('BPC Data'!$F:$F,0,Summary!O$2),'BPC Data'!$E:$E,Summary!$D321,'BPC Data'!$B:$B,Summary!$C321)</f>
        <v>0</v>
      </c>
      <c r="P321" s="183">
        <f ca="1">SUMIFS(OFFSET('BPC Data'!$F:$F,0,Summary!P$2),'BPC Data'!$E:$E,Summary!$D321,'BPC Data'!$B:$B,Summary!$C321)</f>
        <v>0</v>
      </c>
      <c r="Q321" s="19">
        <f ca="1">SUMIFS(OFFSET('BPC Data'!$F:$F,0,Summary!Q$2),'BPC Data'!$E:$E,Summary!$D321,'BPC Data'!$B:$B,Summary!$C321)</f>
        <v>0</v>
      </c>
      <c r="R321" s="183">
        <f ca="1">SUMIFS(OFFSET('BPC Data'!$F:$F,0,Summary!R$2),'BPC Data'!$E:$E,Summary!$D321,'BPC Data'!$B:$B,Summary!$C321)</f>
        <v>0</v>
      </c>
      <c r="S321" s="187">
        <f t="shared" ca="1" si="98"/>
        <v>0</v>
      </c>
      <c r="T321" s="181"/>
    </row>
    <row r="322" spans="1:20" s="17" customFormat="1" outlineLevel="1" x14ac:dyDescent="0.25">
      <c r="A322" s="17">
        <f t="shared" si="114"/>
        <v>29</v>
      </c>
      <c r="B322"/>
      <c r="C322" t="str">
        <f>$F317</f>
        <v>SHC of Bloomsburg Rehab &amp; Wellness Center</v>
      </c>
      <c r="D322" s="3" t="str">
        <f t="shared" si="102"/>
        <v>T_BAD_DEBT - Tenant Bad Debt Expense</v>
      </c>
      <c r="E322"/>
      <c r="F322" s="24" t="str">
        <f>_xll.EVDES(D322)</f>
        <v>Tenant Bad Debt Expense</v>
      </c>
      <c r="G322" s="19">
        <f ca="1">SUMIFS(OFFSET('BPC Data'!$F:$F,0,Summary!G$2),'BPC Data'!$E:$E,Summary!$D322,'BPC Data'!$B:$B,Summary!$C322)</f>
        <v>0</v>
      </c>
      <c r="H322" s="183">
        <f ca="1">SUMIFS(OFFSET('BPC Data'!$F:$F,0,Summary!H$2),'BPC Data'!$E:$E,Summary!$D322,'BPC Data'!$B:$B,Summary!$C322)</f>
        <v>0</v>
      </c>
      <c r="I322" s="19">
        <f ca="1">SUMIFS(OFFSET('BPC Data'!$F:$F,0,Summary!I$2),'BPC Data'!$E:$E,Summary!$D322,'BPC Data'!$B:$B,Summary!$C322)</f>
        <v>0</v>
      </c>
      <c r="J322" s="183">
        <f ca="1">SUMIFS(OFFSET('BPC Data'!$F:$F,0,Summary!J$2),'BPC Data'!$E:$E,Summary!$D322,'BPC Data'!$B:$B,Summary!$C322)</f>
        <v>0</v>
      </c>
      <c r="K322" s="19">
        <f ca="1">SUMIFS(OFFSET('BPC Data'!$F:$F,0,Summary!K$2),'BPC Data'!$E:$E,Summary!$D322,'BPC Data'!$B:$B,Summary!$C322)</f>
        <v>0</v>
      </c>
      <c r="L322" s="183">
        <f ca="1">SUMIFS(OFFSET('BPC Data'!$F:$F,0,Summary!L$2),'BPC Data'!$E:$E,Summary!$D322,'BPC Data'!$B:$B,Summary!$C322)</f>
        <v>0</v>
      </c>
      <c r="M322" s="19">
        <f ca="1">SUMIFS(OFFSET('BPC Data'!$F:$F,0,Summary!M$2),'BPC Data'!$E:$E,Summary!$D322,'BPC Data'!$B:$B,Summary!$C322)</f>
        <v>0</v>
      </c>
      <c r="N322" s="183">
        <f ca="1">SUMIFS(OFFSET('BPC Data'!$F:$F,0,Summary!N$2),'BPC Data'!$E:$E,Summary!$D322,'BPC Data'!$B:$B,Summary!$C322)</f>
        <v>0</v>
      </c>
      <c r="O322" s="19">
        <f ca="1">SUMIFS(OFFSET('BPC Data'!$F:$F,0,Summary!O$2),'BPC Data'!$E:$E,Summary!$D322,'BPC Data'!$B:$B,Summary!$C322)</f>
        <v>0</v>
      </c>
      <c r="P322" s="183">
        <f ca="1">SUMIFS(OFFSET('BPC Data'!$F:$F,0,Summary!P$2),'BPC Data'!$E:$E,Summary!$D322,'BPC Data'!$B:$B,Summary!$C322)</f>
        <v>0</v>
      </c>
      <c r="Q322" s="19">
        <f ca="1">SUMIFS(OFFSET('BPC Data'!$F:$F,0,Summary!Q$2),'BPC Data'!$E:$E,Summary!$D322,'BPC Data'!$B:$B,Summary!$C322)</f>
        <v>0</v>
      </c>
      <c r="R322" s="183">
        <f ca="1">SUMIFS(OFFSET('BPC Data'!$F:$F,0,Summary!R$2),'BPC Data'!$E:$E,Summary!$D322,'BPC Data'!$B:$B,Summary!$C322)</f>
        <v>0</v>
      </c>
      <c r="S322" s="187">
        <f t="shared" ca="1" si="98"/>
        <v>0</v>
      </c>
      <c r="T322" s="181"/>
    </row>
    <row r="323" spans="1:20" s="17" customFormat="1" outlineLevel="1" x14ac:dyDescent="0.25">
      <c r="A323" s="17">
        <f t="shared" si="114"/>
        <v>29</v>
      </c>
      <c r="B323"/>
      <c r="C323" t="str">
        <f>$F317</f>
        <v>SHC of Bloomsburg Rehab &amp; Wellness Center</v>
      </c>
      <c r="D323" s="2" t="str">
        <f t="shared" si="102"/>
        <v>T_EBITDARM - EBITDARM</v>
      </c>
      <c r="E323"/>
      <c r="F323" s="24" t="str">
        <f>_xll.EVDES(D323)</f>
        <v>EBITDARM</v>
      </c>
      <c r="G323" s="19">
        <f ca="1">SUMIFS(OFFSET('BPC Data'!$F:$F,0,Summary!G$2),'BPC Data'!$E:$E,Summary!$D323,'BPC Data'!$B:$B,Summary!$C323)</f>
        <v>0</v>
      </c>
      <c r="H323" s="183">
        <f ca="1">SUMIFS(OFFSET('BPC Data'!$F:$F,0,Summary!H$2),'BPC Data'!$E:$E,Summary!$D323,'BPC Data'!$B:$B,Summary!$C323)</f>
        <v>0</v>
      </c>
      <c r="I323" s="19">
        <f ca="1">SUMIFS(OFFSET('BPC Data'!$F:$F,0,Summary!I$2),'BPC Data'!$E:$E,Summary!$D323,'BPC Data'!$B:$B,Summary!$C323)</f>
        <v>0</v>
      </c>
      <c r="J323" s="183">
        <f ca="1">SUMIFS(OFFSET('BPC Data'!$F:$F,0,Summary!J$2),'BPC Data'!$E:$E,Summary!$D323,'BPC Data'!$B:$B,Summary!$C323)</f>
        <v>0</v>
      </c>
      <c r="K323" s="19">
        <f ca="1">SUMIFS(OFFSET('BPC Data'!$F:$F,0,Summary!K$2),'BPC Data'!$E:$E,Summary!$D323,'BPC Data'!$B:$B,Summary!$C323)</f>
        <v>0</v>
      </c>
      <c r="L323" s="183">
        <f ca="1">SUMIFS(OFFSET('BPC Data'!$F:$F,0,Summary!L$2),'BPC Data'!$E:$E,Summary!$D323,'BPC Data'!$B:$B,Summary!$C323)</f>
        <v>0</v>
      </c>
      <c r="M323" s="19">
        <f ca="1">SUMIFS(OFFSET('BPC Data'!$F:$F,0,Summary!M$2),'BPC Data'!$E:$E,Summary!$D323,'BPC Data'!$B:$B,Summary!$C323)</f>
        <v>0</v>
      </c>
      <c r="N323" s="183">
        <f ca="1">SUMIFS(OFFSET('BPC Data'!$F:$F,0,Summary!N$2),'BPC Data'!$E:$E,Summary!$D323,'BPC Data'!$B:$B,Summary!$C323)</f>
        <v>0</v>
      </c>
      <c r="O323" s="19">
        <f ca="1">SUMIFS(OFFSET('BPC Data'!$F:$F,0,Summary!O$2),'BPC Data'!$E:$E,Summary!$D323,'BPC Data'!$B:$B,Summary!$C323)</f>
        <v>0</v>
      </c>
      <c r="P323" s="183">
        <f ca="1">SUMIFS(OFFSET('BPC Data'!$F:$F,0,Summary!P$2),'BPC Data'!$E:$E,Summary!$D323,'BPC Data'!$B:$B,Summary!$C323)</f>
        <v>0</v>
      </c>
      <c r="Q323" s="19">
        <f ca="1">SUMIFS(OFFSET('BPC Data'!$F:$F,0,Summary!Q$2),'BPC Data'!$E:$E,Summary!$D323,'BPC Data'!$B:$B,Summary!$C323)</f>
        <v>0</v>
      </c>
      <c r="R323" s="183">
        <f ca="1">SUMIFS(OFFSET('BPC Data'!$F:$F,0,Summary!R$2),'BPC Data'!$E:$E,Summary!$D323,'BPC Data'!$B:$B,Summary!$C323)</f>
        <v>0</v>
      </c>
      <c r="S323" s="187">
        <f t="shared" ca="1" si="98"/>
        <v>0</v>
      </c>
      <c r="T323" s="181"/>
    </row>
    <row r="324" spans="1:20" s="17" customFormat="1" outlineLevel="1" x14ac:dyDescent="0.25">
      <c r="A324" s="17">
        <f t="shared" si="114"/>
        <v>29</v>
      </c>
      <c r="B324"/>
      <c r="C324" t="str">
        <f>$F317</f>
        <v>SHC of Bloomsburg Rehab &amp; Wellness Center</v>
      </c>
      <c r="D324" s="2" t="str">
        <f t="shared" si="102"/>
        <v>T_MGMT_FEE - Tenant Management Fee - Actual</v>
      </c>
      <c r="E324"/>
      <c r="F324" s="24" t="str">
        <f>_xll.EVDES(D324)</f>
        <v>Tenant Management Fee - Actual</v>
      </c>
      <c r="G324" s="19">
        <f ca="1">SUMIFS(OFFSET('BPC Data'!$F:$F,0,Summary!G$2),'BPC Data'!$E:$E,Summary!$D324,'BPC Data'!$B:$B,Summary!$C324)</f>
        <v>0</v>
      </c>
      <c r="H324" s="183">
        <f ca="1">SUMIFS(OFFSET('BPC Data'!$F:$F,0,Summary!H$2),'BPC Data'!$E:$E,Summary!$D324,'BPC Data'!$B:$B,Summary!$C324)</f>
        <v>0</v>
      </c>
      <c r="I324" s="19">
        <f ca="1">SUMIFS(OFFSET('BPC Data'!$F:$F,0,Summary!I$2),'BPC Data'!$E:$E,Summary!$D324,'BPC Data'!$B:$B,Summary!$C324)</f>
        <v>0</v>
      </c>
      <c r="J324" s="183">
        <f ca="1">SUMIFS(OFFSET('BPC Data'!$F:$F,0,Summary!J$2),'BPC Data'!$E:$E,Summary!$D324,'BPC Data'!$B:$B,Summary!$C324)</f>
        <v>0</v>
      </c>
      <c r="K324" s="19">
        <f ca="1">SUMIFS(OFFSET('BPC Data'!$F:$F,0,Summary!K$2),'BPC Data'!$E:$E,Summary!$D324,'BPC Data'!$B:$B,Summary!$C324)</f>
        <v>0</v>
      </c>
      <c r="L324" s="183">
        <f ca="1">SUMIFS(OFFSET('BPC Data'!$F:$F,0,Summary!L$2),'BPC Data'!$E:$E,Summary!$D324,'BPC Data'!$B:$B,Summary!$C324)</f>
        <v>0</v>
      </c>
      <c r="M324" s="19">
        <f ca="1">SUMIFS(OFFSET('BPC Data'!$F:$F,0,Summary!M$2),'BPC Data'!$E:$E,Summary!$D324,'BPC Data'!$B:$B,Summary!$C324)</f>
        <v>0</v>
      </c>
      <c r="N324" s="183">
        <f ca="1">SUMIFS(OFFSET('BPC Data'!$F:$F,0,Summary!N$2),'BPC Data'!$E:$E,Summary!$D324,'BPC Data'!$B:$B,Summary!$C324)</f>
        <v>0</v>
      </c>
      <c r="O324" s="19">
        <f ca="1">SUMIFS(OFFSET('BPC Data'!$F:$F,0,Summary!O$2),'BPC Data'!$E:$E,Summary!$D324,'BPC Data'!$B:$B,Summary!$C324)</f>
        <v>0</v>
      </c>
      <c r="P324" s="183">
        <f ca="1">SUMIFS(OFFSET('BPC Data'!$F:$F,0,Summary!P$2),'BPC Data'!$E:$E,Summary!$D324,'BPC Data'!$B:$B,Summary!$C324)</f>
        <v>0</v>
      </c>
      <c r="Q324" s="19">
        <f ca="1">SUMIFS(OFFSET('BPC Data'!$F:$F,0,Summary!Q$2),'BPC Data'!$E:$E,Summary!$D324,'BPC Data'!$B:$B,Summary!$C324)</f>
        <v>0</v>
      </c>
      <c r="R324" s="183">
        <f ca="1">SUMIFS(OFFSET('BPC Data'!$F:$F,0,Summary!R$2),'BPC Data'!$E:$E,Summary!$D324,'BPC Data'!$B:$B,Summary!$C324)</f>
        <v>0</v>
      </c>
      <c r="S324" s="187">
        <f t="shared" ca="1" si="98"/>
        <v>0</v>
      </c>
      <c r="T324" s="181"/>
    </row>
    <row r="325" spans="1:20" s="17" customFormat="1" outlineLevel="1" x14ac:dyDescent="0.25">
      <c r="A325" s="17">
        <f t="shared" si="114"/>
        <v>29</v>
      </c>
      <c r="B325"/>
      <c r="C325" t="str">
        <f>$F317</f>
        <v>SHC of Bloomsburg Rehab &amp; Wellness Center</v>
      </c>
      <c r="D325" s="1" t="str">
        <f t="shared" si="102"/>
        <v>T_EBITDAR - EBITDAR</v>
      </c>
      <c r="E325"/>
      <c r="F325" s="24" t="str">
        <f>_xll.EVDES(D325)</f>
        <v>EBITDAR</v>
      </c>
      <c r="G325" s="19">
        <f ca="1">SUMIFS(OFFSET('BPC Data'!$F:$F,0,Summary!G$2),'BPC Data'!$E:$E,Summary!$D325,'BPC Data'!$B:$B,Summary!$C325)</f>
        <v>0</v>
      </c>
      <c r="H325" s="183">
        <f ca="1">SUMIFS(OFFSET('BPC Data'!$F:$F,0,Summary!H$2),'BPC Data'!$E:$E,Summary!$D325,'BPC Data'!$B:$B,Summary!$C325)</f>
        <v>0</v>
      </c>
      <c r="I325" s="19">
        <f ca="1">SUMIFS(OFFSET('BPC Data'!$F:$F,0,Summary!I$2),'BPC Data'!$E:$E,Summary!$D325,'BPC Data'!$B:$B,Summary!$C325)</f>
        <v>0</v>
      </c>
      <c r="J325" s="183">
        <f ca="1">SUMIFS(OFFSET('BPC Data'!$F:$F,0,Summary!J$2),'BPC Data'!$E:$E,Summary!$D325,'BPC Data'!$B:$B,Summary!$C325)</f>
        <v>0</v>
      </c>
      <c r="K325" s="19">
        <f ca="1">SUMIFS(OFFSET('BPC Data'!$F:$F,0,Summary!K$2),'BPC Data'!$E:$E,Summary!$D325,'BPC Data'!$B:$B,Summary!$C325)</f>
        <v>0</v>
      </c>
      <c r="L325" s="183">
        <f ca="1">SUMIFS(OFFSET('BPC Data'!$F:$F,0,Summary!L$2),'BPC Data'!$E:$E,Summary!$D325,'BPC Data'!$B:$B,Summary!$C325)</f>
        <v>0</v>
      </c>
      <c r="M325" s="19">
        <f ca="1">SUMIFS(OFFSET('BPC Data'!$F:$F,0,Summary!M$2),'BPC Data'!$E:$E,Summary!$D325,'BPC Data'!$B:$B,Summary!$C325)</f>
        <v>0</v>
      </c>
      <c r="N325" s="183">
        <f ca="1">SUMIFS(OFFSET('BPC Data'!$F:$F,0,Summary!N$2),'BPC Data'!$E:$E,Summary!$D325,'BPC Data'!$B:$B,Summary!$C325)</f>
        <v>0</v>
      </c>
      <c r="O325" s="19">
        <f ca="1">SUMIFS(OFFSET('BPC Data'!$F:$F,0,Summary!O$2),'BPC Data'!$E:$E,Summary!$D325,'BPC Data'!$B:$B,Summary!$C325)</f>
        <v>0</v>
      </c>
      <c r="P325" s="183">
        <f ca="1">SUMIFS(OFFSET('BPC Data'!$F:$F,0,Summary!P$2),'BPC Data'!$E:$E,Summary!$D325,'BPC Data'!$B:$B,Summary!$C325)</f>
        <v>0</v>
      </c>
      <c r="Q325" s="19">
        <f ca="1">SUMIFS(OFFSET('BPC Data'!$F:$F,0,Summary!Q$2),'BPC Data'!$E:$E,Summary!$D325,'BPC Data'!$B:$B,Summary!$C325)</f>
        <v>0</v>
      </c>
      <c r="R325" s="183">
        <f ca="1">SUMIFS(OFFSET('BPC Data'!$F:$F,0,Summary!R$2),'BPC Data'!$E:$E,Summary!$D325,'BPC Data'!$B:$B,Summary!$C325)</f>
        <v>0</v>
      </c>
      <c r="S325" s="187">
        <f t="shared" ca="1" si="98"/>
        <v>0</v>
      </c>
      <c r="T325" s="181"/>
    </row>
    <row r="326" spans="1:20" s="17" customFormat="1" outlineLevel="1" x14ac:dyDescent="0.25">
      <c r="A326" s="17">
        <f t="shared" si="114"/>
        <v>29</v>
      </c>
      <c r="B326"/>
      <c r="C326" t="str">
        <f>$F317</f>
        <v>SHC of Bloomsburg Rehab &amp; Wellness Center</v>
      </c>
      <c r="D326" s="1" t="str">
        <f t="shared" si="102"/>
        <v>T_RENT_EXP - Tenant Rent Expense</v>
      </c>
      <c r="E326"/>
      <c r="F326" s="24" t="str">
        <f>_xll.EVDES(D326)</f>
        <v>Tenant Rent Expense</v>
      </c>
      <c r="G326" s="19">
        <f ca="1">SUMIFS(OFFSET('BPC Data'!$F:$F,0,Summary!G$2),'BPC Data'!$E:$E,Summary!$D326,'BPC Data'!$B:$B,Summary!$C326)</f>
        <v>0</v>
      </c>
      <c r="H326" s="183">
        <f ca="1">SUMIFS(OFFSET('BPC Data'!$F:$F,0,Summary!H$2),'BPC Data'!$E:$E,Summary!$D326,'BPC Data'!$B:$B,Summary!$C326)</f>
        <v>0</v>
      </c>
      <c r="I326" s="19">
        <f ca="1">SUMIFS(OFFSET('BPC Data'!$F:$F,0,Summary!I$2),'BPC Data'!$E:$E,Summary!$D326,'BPC Data'!$B:$B,Summary!$C326)</f>
        <v>0</v>
      </c>
      <c r="J326" s="183">
        <f ca="1">SUMIFS(OFFSET('BPC Data'!$F:$F,0,Summary!J$2),'BPC Data'!$E:$E,Summary!$D326,'BPC Data'!$B:$B,Summary!$C326)</f>
        <v>0</v>
      </c>
      <c r="K326" s="19">
        <f ca="1">SUMIFS(OFFSET('BPC Data'!$F:$F,0,Summary!K$2),'BPC Data'!$E:$E,Summary!$D326,'BPC Data'!$B:$B,Summary!$C326)</f>
        <v>0</v>
      </c>
      <c r="L326" s="183">
        <f ca="1">SUMIFS(OFFSET('BPC Data'!$F:$F,0,Summary!L$2),'BPC Data'!$E:$E,Summary!$D326,'BPC Data'!$B:$B,Summary!$C326)</f>
        <v>0</v>
      </c>
      <c r="M326" s="19">
        <f ca="1">SUMIFS(OFFSET('BPC Data'!$F:$F,0,Summary!M$2),'BPC Data'!$E:$E,Summary!$D326,'BPC Data'!$B:$B,Summary!$C326)</f>
        <v>0</v>
      </c>
      <c r="N326" s="183">
        <f ca="1">SUMIFS(OFFSET('BPC Data'!$F:$F,0,Summary!N$2),'BPC Data'!$E:$E,Summary!$D326,'BPC Data'!$B:$B,Summary!$C326)</f>
        <v>0</v>
      </c>
      <c r="O326" s="19">
        <f ca="1">SUMIFS(OFFSET('BPC Data'!$F:$F,0,Summary!O$2),'BPC Data'!$E:$E,Summary!$D326,'BPC Data'!$B:$B,Summary!$C326)</f>
        <v>0</v>
      </c>
      <c r="P326" s="183">
        <f ca="1">SUMIFS(OFFSET('BPC Data'!$F:$F,0,Summary!P$2),'BPC Data'!$E:$E,Summary!$D326,'BPC Data'!$B:$B,Summary!$C326)</f>
        <v>0</v>
      </c>
      <c r="Q326" s="19">
        <f ca="1">SUMIFS(OFFSET('BPC Data'!$F:$F,0,Summary!Q$2),'BPC Data'!$E:$E,Summary!$D326,'BPC Data'!$B:$B,Summary!$C326)</f>
        <v>0</v>
      </c>
      <c r="R326" s="183">
        <f ca="1">SUMIFS(OFFSET('BPC Data'!$F:$F,0,Summary!R$2),'BPC Data'!$E:$E,Summary!$D326,'BPC Data'!$B:$B,Summary!$C326)</f>
        <v>0</v>
      </c>
      <c r="S326" s="187">
        <f t="shared" ca="1" si="98"/>
        <v>0</v>
      </c>
      <c r="T326" s="181"/>
    </row>
    <row r="327" spans="1:20" s="17" customFormat="1" outlineLevel="1" x14ac:dyDescent="0.25">
      <c r="A327" s="17">
        <f t="shared" si="114"/>
        <v>29</v>
      </c>
      <c r="B327"/>
      <c r="C327"/>
      <c r="D327" s="1" t="str">
        <f t="shared" si="102"/>
        <v>x</v>
      </c>
      <c r="E327"/>
      <c r="F327" s="24" t="s">
        <v>0</v>
      </c>
      <c r="G327" s="12" t="e">
        <f ca="1">G325/G326</f>
        <v>#DIV/0!</v>
      </c>
      <c r="H327" s="184" t="e">
        <f t="shared" ref="H327:I327" ca="1" si="115">H325/H326</f>
        <v>#DIV/0!</v>
      </c>
      <c r="I327" s="12" t="e">
        <f t="shared" ca="1" si="115"/>
        <v>#DIV/0!</v>
      </c>
      <c r="J327" s="184" t="e">
        <f t="shared" ref="J327:R327" ca="1" si="116">J325/J326</f>
        <v>#DIV/0!</v>
      </c>
      <c r="K327" s="12" t="e">
        <f t="shared" ca="1" si="116"/>
        <v>#DIV/0!</v>
      </c>
      <c r="L327" s="184" t="e">
        <f t="shared" ca="1" si="116"/>
        <v>#DIV/0!</v>
      </c>
      <c r="M327" s="12" t="e">
        <f t="shared" ca="1" si="116"/>
        <v>#DIV/0!</v>
      </c>
      <c r="N327" s="184" t="e">
        <f t="shared" ca="1" si="116"/>
        <v>#DIV/0!</v>
      </c>
      <c r="O327" s="12" t="e">
        <f t="shared" ca="1" si="116"/>
        <v>#DIV/0!</v>
      </c>
      <c r="P327" s="184" t="e">
        <f t="shared" ca="1" si="116"/>
        <v>#DIV/0!</v>
      </c>
      <c r="Q327" s="12" t="e">
        <f t="shared" ca="1" si="116"/>
        <v>#DIV/0!</v>
      </c>
      <c r="R327" s="184" t="e">
        <f t="shared" ca="1" si="116"/>
        <v>#DIV/0!</v>
      </c>
      <c r="S327" s="187" t="e">
        <f t="shared" ca="1" si="98"/>
        <v>#DIV/0!</v>
      </c>
      <c r="T327" s="181"/>
    </row>
    <row r="328" spans="1:20" s="17" customFormat="1" outlineLevel="1" x14ac:dyDescent="0.25">
      <c r="A328" s="17">
        <f>IF(AND(D328&lt;&gt;"",C328=""),A327+1,A327)</f>
        <v>30</v>
      </c>
      <c r="B328" s="5"/>
      <c r="C328" s="5"/>
      <c r="D328" s="5" t="str">
        <f t="shared" si="102"/>
        <v>x</v>
      </c>
      <c r="E328" s="5"/>
      <c r="F328" s="23" t="str">
        <f>INDEX(PropertyList!$D:$D,MATCH(Summary!$A328,PropertyList!$C:$C,0))</f>
        <v>SHC of McCreary County Rehab &amp; Wellness Center</v>
      </c>
      <c r="G328" s="11"/>
      <c r="H328" s="182"/>
      <c r="I328" s="11"/>
      <c r="J328" s="182"/>
      <c r="K328" s="11"/>
      <c r="L328" s="182"/>
      <c r="M328" s="11"/>
      <c r="N328" s="182"/>
      <c r="O328" s="11"/>
      <c r="P328" s="182"/>
      <c r="Q328" s="11"/>
      <c r="R328" s="182"/>
      <c r="S328" s="187">
        <f t="shared" si="98"/>
        <v>0</v>
      </c>
      <c r="T328" s="181"/>
    </row>
    <row r="329" spans="1:20" s="17" customFormat="1" outlineLevel="1" x14ac:dyDescent="0.25">
      <c r="A329" s="17">
        <f>IF(AND(F329&lt;&gt;"",D329=""),A328+1,A328)</f>
        <v>30</v>
      </c>
      <c r="C329" t="str">
        <f>$F328</f>
        <v>SHC of McCreary County Rehab &amp; Wellness Center</v>
      </c>
      <c r="D329" s="3" t="str">
        <f t="shared" si="102"/>
        <v>PAY_PAT_DAYS - Total Payor Patient Days</v>
      </c>
      <c r="F329" s="24" t="str">
        <f>_xll.EVDES(D329)</f>
        <v>Total Payor Patient Days</v>
      </c>
      <c r="G329" s="19">
        <f ca="1">SUMIFS(OFFSET('BPC Data'!$F:$F,0,Summary!G$2),'BPC Data'!$E:$E,Summary!$D329,'BPC Data'!$B:$B,Summary!$C329)</f>
        <v>1532</v>
      </c>
      <c r="H329" s="183">
        <f ca="1">SUMIFS(OFFSET('BPC Data'!$F:$F,0,Summary!H$2),'BPC Data'!$E:$E,Summary!$D329,'BPC Data'!$B:$B,Summary!$C329)</f>
        <v>1688</v>
      </c>
      <c r="I329" s="19">
        <f ca="1">SUMIFS(OFFSET('BPC Data'!$F:$F,0,Summary!I$2),'BPC Data'!$E:$E,Summary!$D329,'BPC Data'!$B:$B,Summary!$C329)</f>
        <v>1625</v>
      </c>
      <c r="J329" s="183">
        <f ca="1">SUMIFS(OFFSET('BPC Data'!$F:$F,0,Summary!J$2),'BPC Data'!$E:$E,Summary!$D329,'BPC Data'!$B:$B,Summary!$C329)</f>
        <v>1469</v>
      </c>
      <c r="K329" s="19">
        <f ca="1">SUMIFS(OFFSET('BPC Data'!$F:$F,0,Summary!K$2),'BPC Data'!$E:$E,Summary!$D329,'BPC Data'!$B:$B,Summary!$C329)</f>
        <v>1248</v>
      </c>
      <c r="L329" s="183">
        <f ca="1">SUMIFS(OFFSET('BPC Data'!$F:$F,0,Summary!L$2),'BPC Data'!$E:$E,Summary!$D329,'BPC Data'!$B:$B,Summary!$C329)</f>
        <v>1221</v>
      </c>
      <c r="M329" s="19">
        <f ca="1">SUMIFS(OFFSET('BPC Data'!$F:$F,0,Summary!M$2),'BPC Data'!$E:$E,Summary!$D329,'BPC Data'!$B:$B,Summary!$C329)</f>
        <v>1449</v>
      </c>
      <c r="N329" s="183">
        <f ca="1">SUMIFS(OFFSET('BPC Data'!$F:$F,0,Summary!N$2),'BPC Data'!$E:$E,Summary!$D329,'BPC Data'!$B:$B,Summary!$C329)</f>
        <v>1461</v>
      </c>
      <c r="O329" s="19">
        <f ca="1">SUMIFS(OFFSET('BPC Data'!$F:$F,0,Summary!O$2),'BPC Data'!$E:$E,Summary!$D329,'BPC Data'!$B:$B,Summary!$C329)</f>
        <v>1522</v>
      </c>
      <c r="P329" s="183">
        <f ca="1">SUMIFS(OFFSET('BPC Data'!$F:$F,0,Summary!P$2),'BPC Data'!$E:$E,Summary!$D329,'BPC Data'!$B:$B,Summary!$C329)</f>
        <v>1514</v>
      </c>
      <c r="Q329" s="19">
        <f ca="1">SUMIFS(OFFSET('BPC Data'!$F:$F,0,Summary!Q$2),'BPC Data'!$E:$E,Summary!$D329,'BPC Data'!$B:$B,Summary!$C329)</f>
        <v>1651</v>
      </c>
      <c r="R329" s="183">
        <f ca="1">SUMIFS(OFFSET('BPC Data'!$F:$F,0,Summary!R$2),'BPC Data'!$E:$E,Summary!$D329,'BPC Data'!$B:$B,Summary!$C329)</f>
        <v>1652</v>
      </c>
      <c r="S329" s="187">
        <f t="shared" ca="1" si="98"/>
        <v>18032</v>
      </c>
      <c r="T329" s="181"/>
    </row>
    <row r="330" spans="1:20" s="17" customFormat="1" outlineLevel="1" x14ac:dyDescent="0.25">
      <c r="A330" s="17">
        <f t="shared" ref="A330:A338" si="117">IF(AND(F330&lt;&gt;"",D330=""),A329+1,A329)</f>
        <v>30</v>
      </c>
      <c r="C330" t="str">
        <f>$F328</f>
        <v>SHC of McCreary County Rehab &amp; Wellness Center</v>
      </c>
      <c r="D330" s="3" t="str">
        <f t="shared" si="102"/>
        <v>A_BEDS_TOTAL - Total Available Beds</v>
      </c>
      <c r="F330" s="24" t="str">
        <f>_xll.EVDES(D330)</f>
        <v>Total Available Beds</v>
      </c>
      <c r="G330" s="19">
        <f ca="1">SUMIFS(OFFSET('BPC Data'!$F:$F,0,Summary!G$2),'BPC Data'!$E:$E,Summary!$D330,'BPC Data'!$B:$B,Summary!$C330)</f>
        <v>60</v>
      </c>
      <c r="H330" s="183">
        <f ca="1">SUMIFS(OFFSET('BPC Data'!$F:$F,0,Summary!H$2),'BPC Data'!$E:$E,Summary!$D330,'BPC Data'!$B:$B,Summary!$C330)</f>
        <v>60</v>
      </c>
      <c r="I330" s="19">
        <f ca="1">SUMIFS(OFFSET('BPC Data'!$F:$F,0,Summary!I$2),'BPC Data'!$E:$E,Summary!$D330,'BPC Data'!$B:$B,Summary!$C330)</f>
        <v>60</v>
      </c>
      <c r="J330" s="183">
        <f ca="1">SUMIFS(OFFSET('BPC Data'!$F:$F,0,Summary!J$2),'BPC Data'!$E:$E,Summary!$D330,'BPC Data'!$B:$B,Summary!$C330)</f>
        <v>60</v>
      </c>
      <c r="K330" s="19">
        <f ca="1">SUMIFS(OFFSET('BPC Data'!$F:$F,0,Summary!K$2),'BPC Data'!$E:$E,Summary!$D330,'BPC Data'!$B:$B,Summary!$C330)</f>
        <v>60</v>
      </c>
      <c r="L330" s="183">
        <f ca="1">SUMIFS(OFFSET('BPC Data'!$F:$F,0,Summary!L$2),'BPC Data'!$E:$E,Summary!$D330,'BPC Data'!$B:$B,Summary!$C330)</f>
        <v>60</v>
      </c>
      <c r="M330" s="19">
        <f ca="1">SUMIFS(OFFSET('BPC Data'!$F:$F,0,Summary!M$2),'BPC Data'!$E:$E,Summary!$D330,'BPC Data'!$B:$B,Summary!$C330)</f>
        <v>60</v>
      </c>
      <c r="N330" s="183">
        <f ca="1">SUMIFS(OFFSET('BPC Data'!$F:$F,0,Summary!N$2),'BPC Data'!$E:$E,Summary!$D330,'BPC Data'!$B:$B,Summary!$C330)</f>
        <v>60</v>
      </c>
      <c r="O330" s="19">
        <f ca="1">SUMIFS(OFFSET('BPC Data'!$F:$F,0,Summary!O$2),'BPC Data'!$E:$E,Summary!$D330,'BPC Data'!$B:$B,Summary!$C330)</f>
        <v>60</v>
      </c>
      <c r="P330" s="183">
        <f ca="1">SUMIFS(OFFSET('BPC Data'!$F:$F,0,Summary!P$2),'BPC Data'!$E:$E,Summary!$D330,'BPC Data'!$B:$B,Summary!$C330)</f>
        <v>60</v>
      </c>
      <c r="Q330" s="19">
        <f ca="1">SUMIFS(OFFSET('BPC Data'!$F:$F,0,Summary!Q$2),'BPC Data'!$E:$E,Summary!$D330,'BPC Data'!$B:$B,Summary!$C330)</f>
        <v>60</v>
      </c>
      <c r="R330" s="183">
        <f ca="1">SUMIFS(OFFSET('BPC Data'!$F:$F,0,Summary!R$2),'BPC Data'!$E:$E,Summary!$D330,'BPC Data'!$B:$B,Summary!$C330)</f>
        <v>60</v>
      </c>
      <c r="S330" s="187">
        <f ca="1">R330</f>
        <v>60</v>
      </c>
      <c r="T330" s="181"/>
    </row>
    <row r="331" spans="1:20" s="17" customFormat="1" outlineLevel="1" x14ac:dyDescent="0.25">
      <c r="A331" s="17">
        <f t="shared" si="117"/>
        <v>30</v>
      </c>
      <c r="B331"/>
      <c r="C331" t="str">
        <f>$F328</f>
        <v>SHC of McCreary County Rehab &amp; Wellness Center</v>
      </c>
      <c r="D331" s="3" t="str">
        <f t="shared" si="102"/>
        <v>T_REVENUES - Total Tenant Revenues</v>
      </c>
      <c r="E331"/>
      <c r="F331" s="24" t="str">
        <f>_xll.EVDES(D331)</f>
        <v>Total Tenant Revenues</v>
      </c>
      <c r="G331" s="19">
        <f ca="1">SUMIFS(OFFSET('BPC Data'!$F:$F,0,Summary!G$2),'BPC Data'!$E:$E,Summary!$D331,'BPC Data'!$B:$B,Summary!$C331)</f>
        <v>380875</v>
      </c>
      <c r="H331" s="183">
        <f ca="1">SUMIFS(OFFSET('BPC Data'!$F:$F,0,Summary!H$2),'BPC Data'!$E:$E,Summary!$D331,'BPC Data'!$B:$B,Summary!$C331)</f>
        <v>435212</v>
      </c>
      <c r="I331" s="19">
        <f ca="1">SUMIFS(OFFSET('BPC Data'!$F:$F,0,Summary!I$2),'BPC Data'!$E:$E,Summary!$D331,'BPC Data'!$B:$B,Summary!$C331)</f>
        <v>466552</v>
      </c>
      <c r="J331" s="183">
        <f ca="1">SUMIFS(OFFSET('BPC Data'!$F:$F,0,Summary!J$2),'BPC Data'!$E:$E,Summary!$D331,'BPC Data'!$B:$B,Summary!$C331)</f>
        <v>653832</v>
      </c>
      <c r="K331" s="19">
        <f ca="1">SUMIFS(OFFSET('BPC Data'!$F:$F,0,Summary!K$2),'BPC Data'!$E:$E,Summary!$D331,'BPC Data'!$B:$B,Summary!$C331)</f>
        <v>468574</v>
      </c>
      <c r="L331" s="183">
        <f ca="1">SUMIFS(OFFSET('BPC Data'!$F:$F,0,Summary!L$2),'BPC Data'!$E:$E,Summary!$D331,'BPC Data'!$B:$B,Summary!$C331)</f>
        <v>352230</v>
      </c>
      <c r="M331" s="19">
        <f ca="1">SUMIFS(OFFSET('BPC Data'!$F:$F,0,Summary!M$2),'BPC Data'!$E:$E,Summary!$D331,'BPC Data'!$B:$B,Summary!$C331)</f>
        <v>419767</v>
      </c>
      <c r="N331" s="183">
        <f ca="1">SUMIFS(OFFSET('BPC Data'!$F:$F,0,Summary!N$2),'BPC Data'!$E:$E,Summary!$D331,'BPC Data'!$B:$B,Summary!$C331)</f>
        <v>405215</v>
      </c>
      <c r="O331" s="19">
        <f ca="1">SUMIFS(OFFSET('BPC Data'!$F:$F,0,Summary!O$2),'BPC Data'!$E:$E,Summary!$D331,'BPC Data'!$B:$B,Summary!$C331)</f>
        <v>419566</v>
      </c>
      <c r="P331" s="183">
        <f ca="1">SUMIFS(OFFSET('BPC Data'!$F:$F,0,Summary!P$2),'BPC Data'!$E:$E,Summary!$D331,'BPC Data'!$B:$B,Summary!$C331)</f>
        <v>408107</v>
      </c>
      <c r="Q331" s="19">
        <f ca="1">SUMIFS(OFFSET('BPC Data'!$F:$F,0,Summary!Q$2),'BPC Data'!$E:$E,Summary!$D331,'BPC Data'!$B:$B,Summary!$C331)</f>
        <v>445965</v>
      </c>
      <c r="R331" s="183">
        <f ca="1">SUMIFS(OFFSET('BPC Data'!$F:$F,0,Summary!R$2),'BPC Data'!$E:$E,Summary!$D331,'BPC Data'!$B:$B,Summary!$C331)</f>
        <v>422758</v>
      </c>
      <c r="S331" s="187">
        <f t="shared" ref="S331:S394" ca="1" si="118">SUM(G331:R331)</f>
        <v>5278653</v>
      </c>
      <c r="T331" s="181"/>
    </row>
    <row r="332" spans="1:20" s="17" customFormat="1" outlineLevel="1" x14ac:dyDescent="0.25">
      <c r="A332" s="17">
        <f t="shared" si="117"/>
        <v>30</v>
      </c>
      <c r="B332"/>
      <c r="C332" t="str">
        <f>$F328</f>
        <v>SHC of McCreary County Rehab &amp; Wellness Center</v>
      </c>
      <c r="D332" s="3" t="str">
        <f t="shared" si="102"/>
        <v>T_OPEX - Tenant Operating Expenses</v>
      </c>
      <c r="E332"/>
      <c r="F332" s="24" t="str">
        <f>_xll.EVDES(D332)</f>
        <v>Tenant Operating Expenses</v>
      </c>
      <c r="G332" s="19">
        <f ca="1">SUMIFS(OFFSET('BPC Data'!$F:$F,0,Summary!G$2),'BPC Data'!$E:$E,Summary!$D332,'BPC Data'!$B:$B,Summary!$C332)</f>
        <v>327349</v>
      </c>
      <c r="H332" s="183">
        <f ca="1">SUMIFS(OFFSET('BPC Data'!$F:$F,0,Summary!H$2),'BPC Data'!$E:$E,Summary!$D332,'BPC Data'!$B:$B,Summary!$C332)</f>
        <v>360062</v>
      </c>
      <c r="I332" s="19">
        <f ca="1">SUMIFS(OFFSET('BPC Data'!$F:$F,0,Summary!I$2),'BPC Data'!$E:$E,Summary!$D332,'BPC Data'!$B:$B,Summary!$C332)</f>
        <v>390798</v>
      </c>
      <c r="J332" s="183">
        <f ca="1">SUMIFS(OFFSET('BPC Data'!$F:$F,0,Summary!J$2),'BPC Data'!$E:$E,Summary!$D332,'BPC Data'!$B:$B,Summary!$C332)</f>
        <v>530668</v>
      </c>
      <c r="K332" s="19">
        <f ca="1">SUMIFS(OFFSET('BPC Data'!$F:$F,0,Summary!K$2),'BPC Data'!$E:$E,Summary!$D332,'BPC Data'!$B:$B,Summary!$C332)</f>
        <v>396600</v>
      </c>
      <c r="L332" s="183">
        <f ca="1">SUMIFS(OFFSET('BPC Data'!$F:$F,0,Summary!L$2),'BPC Data'!$E:$E,Summary!$D332,'BPC Data'!$B:$B,Summary!$C332)</f>
        <v>346547</v>
      </c>
      <c r="M332" s="19">
        <f ca="1">SUMIFS(OFFSET('BPC Data'!$F:$F,0,Summary!M$2),'BPC Data'!$E:$E,Summary!$D332,'BPC Data'!$B:$B,Summary!$C332)</f>
        <v>364093</v>
      </c>
      <c r="N332" s="183">
        <f ca="1">SUMIFS(OFFSET('BPC Data'!$F:$F,0,Summary!N$2),'BPC Data'!$E:$E,Summary!$D332,'BPC Data'!$B:$B,Summary!$C332)</f>
        <v>322876</v>
      </c>
      <c r="O332" s="19">
        <f ca="1">SUMIFS(OFFSET('BPC Data'!$F:$F,0,Summary!O$2),'BPC Data'!$E:$E,Summary!$D332,'BPC Data'!$B:$B,Summary!$C332)</f>
        <v>323537</v>
      </c>
      <c r="P332" s="183">
        <f ca="1">SUMIFS(OFFSET('BPC Data'!$F:$F,0,Summary!P$2),'BPC Data'!$E:$E,Summary!$D332,'BPC Data'!$B:$B,Summary!$C332)</f>
        <v>319621</v>
      </c>
      <c r="Q332" s="19">
        <f ca="1">SUMIFS(OFFSET('BPC Data'!$F:$F,0,Summary!Q$2),'BPC Data'!$E:$E,Summary!$D332,'BPC Data'!$B:$B,Summary!$C332)</f>
        <v>363379</v>
      </c>
      <c r="R332" s="183">
        <f ca="1">SUMIFS(OFFSET('BPC Data'!$F:$F,0,Summary!R$2),'BPC Data'!$E:$E,Summary!$D332,'BPC Data'!$B:$B,Summary!$C332)</f>
        <v>317067</v>
      </c>
      <c r="S332" s="187">
        <f t="shared" ca="1" si="118"/>
        <v>4362597</v>
      </c>
      <c r="T332" s="181"/>
    </row>
    <row r="333" spans="1:20" s="17" customFormat="1" outlineLevel="1" x14ac:dyDescent="0.25">
      <c r="A333" s="17">
        <f t="shared" si="117"/>
        <v>30</v>
      </c>
      <c r="B333"/>
      <c r="C333" t="str">
        <f>$F328</f>
        <v>SHC of McCreary County Rehab &amp; Wellness Center</v>
      </c>
      <c r="D333" s="3" t="str">
        <f t="shared" si="102"/>
        <v>T_BAD_DEBT - Tenant Bad Debt Expense</v>
      </c>
      <c r="E333"/>
      <c r="F333" s="24" t="str">
        <f>_xll.EVDES(D333)</f>
        <v>Tenant Bad Debt Expense</v>
      </c>
      <c r="G333" s="19">
        <f ca="1">SUMIFS(OFFSET('BPC Data'!$F:$F,0,Summary!G$2),'BPC Data'!$E:$E,Summary!$D333,'BPC Data'!$B:$B,Summary!$C333)</f>
        <v>10000</v>
      </c>
      <c r="H333" s="183">
        <f ca="1">SUMIFS(OFFSET('BPC Data'!$F:$F,0,Summary!H$2),'BPC Data'!$E:$E,Summary!$D333,'BPC Data'!$B:$B,Summary!$C333)</f>
        <v>13461</v>
      </c>
      <c r="I333" s="19">
        <f ca="1">SUMIFS(OFFSET('BPC Data'!$F:$F,0,Summary!I$2),'BPC Data'!$E:$E,Summary!$D333,'BPC Data'!$B:$B,Summary!$C333)</f>
        <v>20000</v>
      </c>
      <c r="J333" s="183">
        <f ca="1">SUMIFS(OFFSET('BPC Data'!$F:$F,0,Summary!J$2),'BPC Data'!$E:$E,Summary!$D333,'BPC Data'!$B:$B,Summary!$C333)</f>
        <v>43009</v>
      </c>
      <c r="K333" s="19">
        <f ca="1">SUMIFS(OFFSET('BPC Data'!$F:$F,0,Summary!K$2),'BPC Data'!$E:$E,Summary!$D333,'BPC Data'!$B:$B,Summary!$C333)</f>
        <v>9000</v>
      </c>
      <c r="L333" s="183">
        <f ca="1">SUMIFS(OFFSET('BPC Data'!$F:$F,0,Summary!L$2),'BPC Data'!$E:$E,Summary!$D333,'BPC Data'!$B:$B,Summary!$C333)</f>
        <v>9000</v>
      </c>
      <c r="M333" s="19">
        <f ca="1">SUMIFS(OFFSET('BPC Data'!$F:$F,0,Summary!M$2),'BPC Data'!$E:$E,Summary!$D333,'BPC Data'!$B:$B,Summary!$C333)</f>
        <v>0</v>
      </c>
      <c r="N333" s="183">
        <f ca="1">SUMIFS(OFFSET('BPC Data'!$F:$F,0,Summary!N$2),'BPC Data'!$E:$E,Summary!$D333,'BPC Data'!$B:$B,Summary!$C333)</f>
        <v>5000</v>
      </c>
      <c r="O333" s="19">
        <f ca="1">SUMIFS(OFFSET('BPC Data'!$F:$F,0,Summary!O$2),'BPC Data'!$E:$E,Summary!$D333,'BPC Data'!$B:$B,Summary!$C333)</f>
        <v>0</v>
      </c>
      <c r="P333" s="183">
        <f ca="1">SUMIFS(OFFSET('BPC Data'!$F:$F,0,Summary!P$2),'BPC Data'!$E:$E,Summary!$D333,'BPC Data'!$B:$B,Summary!$C333)</f>
        <v>0</v>
      </c>
      <c r="Q333" s="19">
        <f ca="1">SUMIFS(OFFSET('BPC Data'!$F:$F,0,Summary!Q$2),'BPC Data'!$E:$E,Summary!$D333,'BPC Data'!$B:$B,Summary!$C333)</f>
        <v>20000</v>
      </c>
      <c r="R333" s="183">
        <f ca="1">SUMIFS(OFFSET('BPC Data'!$F:$F,0,Summary!R$2),'BPC Data'!$E:$E,Summary!$D333,'BPC Data'!$B:$B,Summary!$C333)</f>
        <v>5000</v>
      </c>
      <c r="S333" s="187">
        <f t="shared" ca="1" si="118"/>
        <v>134470</v>
      </c>
      <c r="T333" s="181"/>
    </row>
    <row r="334" spans="1:20" s="17" customFormat="1" outlineLevel="1" x14ac:dyDescent="0.25">
      <c r="A334" s="17">
        <f t="shared" si="117"/>
        <v>30</v>
      </c>
      <c r="B334"/>
      <c r="C334" t="str">
        <f>$F328</f>
        <v>SHC of McCreary County Rehab &amp; Wellness Center</v>
      </c>
      <c r="D334" s="2" t="str">
        <f t="shared" si="102"/>
        <v>T_EBITDARM - EBITDARM</v>
      </c>
      <c r="E334"/>
      <c r="F334" s="24" t="str">
        <f>_xll.EVDES(D334)</f>
        <v>EBITDARM</v>
      </c>
      <c r="G334" s="19">
        <f ca="1">SUMIFS(OFFSET('BPC Data'!$F:$F,0,Summary!G$2),'BPC Data'!$E:$E,Summary!$D334,'BPC Data'!$B:$B,Summary!$C334)</f>
        <v>53526</v>
      </c>
      <c r="H334" s="183">
        <f ca="1">SUMIFS(OFFSET('BPC Data'!$F:$F,0,Summary!H$2),'BPC Data'!$E:$E,Summary!$D334,'BPC Data'!$B:$B,Summary!$C334)</f>
        <v>75150</v>
      </c>
      <c r="I334" s="19">
        <f ca="1">SUMIFS(OFFSET('BPC Data'!$F:$F,0,Summary!I$2),'BPC Data'!$E:$E,Summary!$D334,'BPC Data'!$B:$B,Summary!$C334)</f>
        <v>75754</v>
      </c>
      <c r="J334" s="183">
        <f ca="1">SUMIFS(OFFSET('BPC Data'!$F:$F,0,Summary!J$2),'BPC Data'!$E:$E,Summary!$D334,'BPC Data'!$B:$B,Summary!$C334)</f>
        <v>123164</v>
      </c>
      <c r="K334" s="19">
        <f ca="1">SUMIFS(OFFSET('BPC Data'!$F:$F,0,Summary!K$2),'BPC Data'!$E:$E,Summary!$D334,'BPC Data'!$B:$B,Summary!$C334)</f>
        <v>71974</v>
      </c>
      <c r="L334" s="183">
        <f ca="1">SUMIFS(OFFSET('BPC Data'!$F:$F,0,Summary!L$2),'BPC Data'!$E:$E,Summary!$D334,'BPC Data'!$B:$B,Summary!$C334)</f>
        <v>5683</v>
      </c>
      <c r="M334" s="19">
        <f ca="1">SUMIFS(OFFSET('BPC Data'!$F:$F,0,Summary!M$2),'BPC Data'!$E:$E,Summary!$D334,'BPC Data'!$B:$B,Summary!$C334)</f>
        <v>55674</v>
      </c>
      <c r="N334" s="183">
        <f ca="1">SUMIFS(OFFSET('BPC Data'!$F:$F,0,Summary!N$2),'BPC Data'!$E:$E,Summary!$D334,'BPC Data'!$B:$B,Summary!$C334)</f>
        <v>82339</v>
      </c>
      <c r="O334" s="19">
        <f ca="1">SUMIFS(OFFSET('BPC Data'!$F:$F,0,Summary!O$2),'BPC Data'!$E:$E,Summary!$D334,'BPC Data'!$B:$B,Summary!$C334)</f>
        <v>96029</v>
      </c>
      <c r="P334" s="183">
        <f ca="1">SUMIFS(OFFSET('BPC Data'!$F:$F,0,Summary!P$2),'BPC Data'!$E:$E,Summary!$D334,'BPC Data'!$B:$B,Summary!$C334)</f>
        <v>88486</v>
      </c>
      <c r="Q334" s="19">
        <f ca="1">SUMIFS(OFFSET('BPC Data'!$F:$F,0,Summary!Q$2),'BPC Data'!$E:$E,Summary!$D334,'BPC Data'!$B:$B,Summary!$C334)</f>
        <v>82586</v>
      </c>
      <c r="R334" s="183">
        <f ca="1">SUMIFS(OFFSET('BPC Data'!$F:$F,0,Summary!R$2),'BPC Data'!$E:$E,Summary!$D334,'BPC Data'!$B:$B,Summary!$C334)</f>
        <v>105691</v>
      </c>
      <c r="S334" s="187">
        <f t="shared" ca="1" si="118"/>
        <v>916056</v>
      </c>
      <c r="T334" s="181"/>
    </row>
    <row r="335" spans="1:20" s="17" customFormat="1" outlineLevel="1" x14ac:dyDescent="0.25">
      <c r="A335" s="17">
        <f t="shared" si="117"/>
        <v>30</v>
      </c>
      <c r="B335"/>
      <c r="C335" t="str">
        <f>$F328</f>
        <v>SHC of McCreary County Rehab &amp; Wellness Center</v>
      </c>
      <c r="D335" s="2" t="str">
        <f t="shared" si="102"/>
        <v>T_MGMT_FEE - Tenant Management Fee - Actual</v>
      </c>
      <c r="E335"/>
      <c r="F335" s="24" t="str">
        <f>_xll.EVDES(D335)</f>
        <v>Tenant Management Fee - Actual</v>
      </c>
      <c r="G335" s="19">
        <f ca="1">SUMIFS(OFFSET('BPC Data'!$F:$F,0,Summary!G$2),'BPC Data'!$E:$E,Summary!$D335,'BPC Data'!$B:$B,Summary!$C335)</f>
        <v>19127</v>
      </c>
      <c r="H335" s="183">
        <f ca="1">SUMIFS(OFFSET('BPC Data'!$F:$F,0,Summary!H$2),'BPC Data'!$E:$E,Summary!$D335,'BPC Data'!$B:$B,Summary!$C335)</f>
        <v>21978</v>
      </c>
      <c r="I335" s="19">
        <f ca="1">SUMIFS(OFFSET('BPC Data'!$F:$F,0,Summary!I$2),'BPC Data'!$E:$E,Summary!$D335,'BPC Data'!$B:$B,Summary!$C335)</f>
        <v>23561</v>
      </c>
      <c r="J335" s="183">
        <f ca="1">SUMIFS(OFFSET('BPC Data'!$F:$F,0,Summary!J$2),'BPC Data'!$E:$E,Summary!$D335,'BPC Data'!$B:$B,Summary!$C335)</f>
        <v>33661</v>
      </c>
      <c r="K335" s="19">
        <f ca="1">SUMIFS(OFFSET('BPC Data'!$F:$F,0,Summary!K$2),'BPC Data'!$E:$E,Summary!$D335,'BPC Data'!$B:$B,Summary!$C335)</f>
        <v>23663</v>
      </c>
      <c r="L335" s="183">
        <f ca="1">SUMIFS(OFFSET('BPC Data'!$F:$F,0,Summary!L$2),'BPC Data'!$E:$E,Summary!$D335,'BPC Data'!$B:$B,Summary!$C335)</f>
        <v>17788</v>
      </c>
      <c r="M335" s="19">
        <f ca="1">SUMIFS(OFFSET('BPC Data'!$F:$F,0,Summary!M$2),'BPC Data'!$E:$E,Summary!$D335,'BPC Data'!$B:$B,Summary!$C335)</f>
        <v>21198</v>
      </c>
      <c r="N335" s="183">
        <f ca="1">SUMIFS(OFFSET('BPC Data'!$F:$F,0,Summary!N$2),'BPC Data'!$E:$E,Summary!$D335,'BPC Data'!$B:$B,Summary!$C335)</f>
        <v>20463</v>
      </c>
      <c r="O335" s="19">
        <f ca="1">SUMIFS(OFFSET('BPC Data'!$F:$F,0,Summary!O$2),'BPC Data'!$E:$E,Summary!$D335,'BPC Data'!$B:$B,Summary!$C335)</f>
        <v>21188</v>
      </c>
      <c r="P335" s="183">
        <f ca="1">SUMIFS(OFFSET('BPC Data'!$F:$F,0,Summary!P$2),'BPC Data'!$E:$E,Summary!$D335,'BPC Data'!$B:$B,Summary!$C335)</f>
        <v>20609</v>
      </c>
      <c r="Q335" s="19">
        <f ca="1">SUMIFS(OFFSET('BPC Data'!$F:$F,0,Summary!Q$2),'BPC Data'!$E:$E,Summary!$D335,'BPC Data'!$B:$B,Summary!$C335)</f>
        <v>22521</v>
      </c>
      <c r="R335" s="183">
        <f ca="1">SUMIFS(OFFSET('BPC Data'!$F:$F,0,Summary!R$2),'BPC Data'!$E:$E,Summary!$D335,'BPC Data'!$B:$B,Summary!$C335)</f>
        <v>21349</v>
      </c>
      <c r="S335" s="187">
        <f t="shared" ca="1" si="118"/>
        <v>267106</v>
      </c>
      <c r="T335" s="181"/>
    </row>
    <row r="336" spans="1:20" s="17" customFormat="1" outlineLevel="1" x14ac:dyDescent="0.25">
      <c r="A336" s="17">
        <f t="shared" si="117"/>
        <v>30</v>
      </c>
      <c r="B336"/>
      <c r="C336" t="str">
        <f>$F328</f>
        <v>SHC of McCreary County Rehab &amp; Wellness Center</v>
      </c>
      <c r="D336" s="1" t="str">
        <f t="shared" si="102"/>
        <v>T_EBITDAR - EBITDAR</v>
      </c>
      <c r="E336"/>
      <c r="F336" s="24" t="str">
        <f>_xll.EVDES(D336)</f>
        <v>EBITDAR</v>
      </c>
      <c r="G336" s="19">
        <f ca="1">SUMIFS(OFFSET('BPC Data'!$F:$F,0,Summary!G$2),'BPC Data'!$E:$E,Summary!$D336,'BPC Data'!$B:$B,Summary!$C336)</f>
        <v>34399</v>
      </c>
      <c r="H336" s="183">
        <f ca="1">SUMIFS(OFFSET('BPC Data'!$F:$F,0,Summary!H$2),'BPC Data'!$E:$E,Summary!$D336,'BPC Data'!$B:$B,Summary!$C336)</f>
        <v>53172</v>
      </c>
      <c r="I336" s="19">
        <f ca="1">SUMIFS(OFFSET('BPC Data'!$F:$F,0,Summary!I$2),'BPC Data'!$E:$E,Summary!$D336,'BPC Data'!$B:$B,Summary!$C336)</f>
        <v>52193</v>
      </c>
      <c r="J336" s="183">
        <f ca="1">SUMIFS(OFFSET('BPC Data'!$F:$F,0,Summary!J$2),'BPC Data'!$E:$E,Summary!$D336,'BPC Data'!$B:$B,Summary!$C336)</f>
        <v>89503</v>
      </c>
      <c r="K336" s="19">
        <f ca="1">SUMIFS(OFFSET('BPC Data'!$F:$F,0,Summary!K$2),'BPC Data'!$E:$E,Summary!$D336,'BPC Data'!$B:$B,Summary!$C336)</f>
        <v>48311</v>
      </c>
      <c r="L336" s="183">
        <f ca="1">SUMIFS(OFFSET('BPC Data'!$F:$F,0,Summary!L$2),'BPC Data'!$E:$E,Summary!$D336,'BPC Data'!$B:$B,Summary!$C336)</f>
        <v>-12105</v>
      </c>
      <c r="M336" s="19">
        <f ca="1">SUMIFS(OFFSET('BPC Data'!$F:$F,0,Summary!M$2),'BPC Data'!$E:$E,Summary!$D336,'BPC Data'!$B:$B,Summary!$C336)</f>
        <v>34476</v>
      </c>
      <c r="N336" s="183">
        <f ca="1">SUMIFS(OFFSET('BPC Data'!$F:$F,0,Summary!N$2),'BPC Data'!$E:$E,Summary!$D336,'BPC Data'!$B:$B,Summary!$C336)</f>
        <v>61876</v>
      </c>
      <c r="O336" s="19">
        <f ca="1">SUMIFS(OFFSET('BPC Data'!$F:$F,0,Summary!O$2),'BPC Data'!$E:$E,Summary!$D336,'BPC Data'!$B:$B,Summary!$C336)</f>
        <v>74841</v>
      </c>
      <c r="P336" s="183">
        <f ca="1">SUMIFS(OFFSET('BPC Data'!$F:$F,0,Summary!P$2),'BPC Data'!$E:$E,Summary!$D336,'BPC Data'!$B:$B,Summary!$C336)</f>
        <v>67877</v>
      </c>
      <c r="Q336" s="19">
        <f ca="1">SUMIFS(OFFSET('BPC Data'!$F:$F,0,Summary!Q$2),'BPC Data'!$E:$E,Summary!$D336,'BPC Data'!$B:$B,Summary!$C336)</f>
        <v>60065</v>
      </c>
      <c r="R336" s="183">
        <f ca="1">SUMIFS(OFFSET('BPC Data'!$F:$F,0,Summary!R$2),'BPC Data'!$E:$E,Summary!$D336,'BPC Data'!$B:$B,Summary!$C336)</f>
        <v>84342</v>
      </c>
      <c r="S336" s="187">
        <f t="shared" ca="1" si="118"/>
        <v>648950</v>
      </c>
      <c r="T336" s="181"/>
    </row>
    <row r="337" spans="1:20" s="17" customFormat="1" outlineLevel="1" x14ac:dyDescent="0.25">
      <c r="A337" s="17">
        <f t="shared" si="117"/>
        <v>30</v>
      </c>
      <c r="B337"/>
      <c r="C337" t="str">
        <f>$F328</f>
        <v>SHC of McCreary County Rehab &amp; Wellness Center</v>
      </c>
      <c r="D337" s="1" t="str">
        <f t="shared" si="102"/>
        <v>T_RENT_EXP - Tenant Rent Expense</v>
      </c>
      <c r="E337"/>
      <c r="F337" s="24" t="str">
        <f>_xll.EVDES(D337)</f>
        <v>Tenant Rent Expense</v>
      </c>
      <c r="G337" s="19">
        <f ca="1">SUMIFS(OFFSET('BPC Data'!$F:$F,0,Summary!G$2),'BPC Data'!$E:$E,Summary!$D337,'BPC Data'!$B:$B,Summary!$C337)</f>
        <v>57413</v>
      </c>
      <c r="H337" s="183">
        <f ca="1">SUMIFS(OFFSET('BPC Data'!$F:$F,0,Summary!H$2),'BPC Data'!$E:$E,Summary!$D337,'BPC Data'!$B:$B,Summary!$C337)</f>
        <v>57413</v>
      </c>
      <c r="I337" s="19">
        <f ca="1">SUMIFS(OFFSET('BPC Data'!$F:$F,0,Summary!I$2),'BPC Data'!$E:$E,Summary!$D337,'BPC Data'!$B:$B,Summary!$C337)</f>
        <v>57413</v>
      </c>
      <c r="J337" s="183">
        <f ca="1">SUMIFS(OFFSET('BPC Data'!$F:$F,0,Summary!J$2),'BPC Data'!$E:$E,Summary!$D337,'BPC Data'!$B:$B,Summary!$C337)</f>
        <v>58849</v>
      </c>
      <c r="K337" s="19">
        <f ca="1">SUMIFS(OFFSET('BPC Data'!$F:$F,0,Summary!K$2),'BPC Data'!$E:$E,Summary!$D337,'BPC Data'!$B:$B,Summary!$C337)</f>
        <v>58849</v>
      </c>
      <c r="L337" s="183">
        <f ca="1">SUMIFS(OFFSET('BPC Data'!$F:$F,0,Summary!L$2),'BPC Data'!$E:$E,Summary!$D337,'BPC Data'!$B:$B,Summary!$C337)</f>
        <v>58849</v>
      </c>
      <c r="M337" s="19">
        <f ca="1">SUMIFS(OFFSET('BPC Data'!$F:$F,0,Summary!M$2),'BPC Data'!$E:$E,Summary!$D337,'BPC Data'!$B:$B,Summary!$C337)</f>
        <v>58849</v>
      </c>
      <c r="N337" s="183">
        <f ca="1">SUMIFS(OFFSET('BPC Data'!$F:$F,0,Summary!N$2),'BPC Data'!$E:$E,Summary!$D337,'BPC Data'!$B:$B,Summary!$C337)</f>
        <v>58849</v>
      </c>
      <c r="O337" s="19">
        <f ca="1">SUMIFS(OFFSET('BPC Data'!$F:$F,0,Summary!O$2),'BPC Data'!$E:$E,Summary!$D337,'BPC Data'!$B:$B,Summary!$C337)</f>
        <v>58849</v>
      </c>
      <c r="P337" s="183">
        <f ca="1">SUMIFS(OFFSET('BPC Data'!$F:$F,0,Summary!P$2),'BPC Data'!$E:$E,Summary!$D337,'BPC Data'!$B:$B,Summary!$C337)</f>
        <v>58849</v>
      </c>
      <c r="Q337" s="19">
        <f ca="1">SUMIFS(OFFSET('BPC Data'!$F:$F,0,Summary!Q$2),'BPC Data'!$E:$E,Summary!$D337,'BPC Data'!$B:$B,Summary!$C337)</f>
        <v>58849</v>
      </c>
      <c r="R337" s="183">
        <f ca="1">SUMIFS(OFFSET('BPC Data'!$F:$F,0,Summary!R$2),'BPC Data'!$E:$E,Summary!$D337,'BPC Data'!$B:$B,Summary!$C337)</f>
        <v>58849</v>
      </c>
      <c r="S337" s="187">
        <f t="shared" ca="1" si="118"/>
        <v>701880</v>
      </c>
      <c r="T337" s="181"/>
    </row>
    <row r="338" spans="1:20" s="17" customFormat="1" outlineLevel="1" x14ac:dyDescent="0.25">
      <c r="A338" s="17">
        <f t="shared" si="117"/>
        <v>30</v>
      </c>
      <c r="B338"/>
      <c r="C338"/>
      <c r="D338" s="1" t="str">
        <f t="shared" si="102"/>
        <v>x</v>
      </c>
      <c r="E338"/>
      <c r="F338" s="24" t="s">
        <v>0</v>
      </c>
      <c r="G338" s="12">
        <f ca="1">G336/G337</f>
        <v>0.59915001828854098</v>
      </c>
      <c r="H338" s="184">
        <f t="shared" ref="H338:I338" ca="1" si="119">H336/H337</f>
        <v>0.92613171232996017</v>
      </c>
      <c r="I338" s="12">
        <f t="shared" ca="1" si="119"/>
        <v>0.90907982512671348</v>
      </c>
      <c r="J338" s="184">
        <f t="shared" ref="J338:R338" ca="1" si="120">J336/J337</f>
        <v>1.5208924535676052</v>
      </c>
      <c r="K338" s="12">
        <f t="shared" ca="1" si="120"/>
        <v>0.82093153664463292</v>
      </c>
      <c r="L338" s="184">
        <f t="shared" ca="1" si="120"/>
        <v>-0.20569593366072492</v>
      </c>
      <c r="M338" s="12">
        <f t="shared" ca="1" si="120"/>
        <v>0.585838332002243</v>
      </c>
      <c r="N338" s="184">
        <f t="shared" ca="1" si="120"/>
        <v>1.0514367278968206</v>
      </c>
      <c r="O338" s="12">
        <f t="shared" ca="1" si="120"/>
        <v>1.2717463338374484</v>
      </c>
      <c r="P338" s="184">
        <f t="shared" ca="1" si="120"/>
        <v>1.1534095736546075</v>
      </c>
      <c r="Q338" s="12">
        <f t="shared" ca="1" si="120"/>
        <v>1.0206630528980951</v>
      </c>
      <c r="R338" s="184">
        <f t="shared" ca="1" si="120"/>
        <v>1.4331934272460025</v>
      </c>
      <c r="S338" s="187">
        <f t="shared" ca="1" si="118"/>
        <v>11.086777059831947</v>
      </c>
      <c r="T338" s="181"/>
    </row>
    <row r="339" spans="1:20" s="17" customFormat="1" outlineLevel="1" x14ac:dyDescent="0.25">
      <c r="A339" s="17">
        <f>IF(AND(D339&lt;&gt;"",C339=""),A338+1,A338)</f>
        <v>31</v>
      </c>
      <c r="B339" s="5"/>
      <c r="C339" s="5"/>
      <c r="D339" s="5" t="str">
        <f t="shared" si="102"/>
        <v>x</v>
      </c>
      <c r="E339" s="5"/>
      <c r="F339" s="23" t="str">
        <f>INDEX(PropertyList!$D:$D,MATCH(Summary!$A339,PropertyList!$C:$C,0))</f>
        <v>SHC at Colonial Rehab &amp; Wellness Center</v>
      </c>
      <c r="G339" s="11"/>
      <c r="H339" s="182"/>
      <c r="I339" s="11"/>
      <c r="J339" s="182"/>
      <c r="K339" s="11"/>
      <c r="L339" s="182"/>
      <c r="M339" s="11"/>
      <c r="N339" s="182"/>
      <c r="O339" s="11"/>
      <c r="P339" s="182"/>
      <c r="Q339" s="11"/>
      <c r="R339" s="182"/>
      <c r="S339" s="187">
        <f t="shared" si="118"/>
        <v>0</v>
      </c>
      <c r="T339" s="181"/>
    </row>
    <row r="340" spans="1:20" s="17" customFormat="1" outlineLevel="1" x14ac:dyDescent="0.25">
      <c r="A340" s="17">
        <f>IF(AND(F340&lt;&gt;"",D340=""),A339+1,A339)</f>
        <v>31</v>
      </c>
      <c r="C340" t="str">
        <f>$F339</f>
        <v>SHC at Colonial Rehab &amp; Wellness Center</v>
      </c>
      <c r="D340" s="3" t="str">
        <f t="shared" si="102"/>
        <v>PAY_PAT_DAYS - Total Payor Patient Days</v>
      </c>
      <c r="F340" s="24" t="str">
        <f>_xll.EVDES(D340)</f>
        <v>Total Payor Patient Days</v>
      </c>
      <c r="G340" s="19">
        <f ca="1">SUMIFS(OFFSET('BPC Data'!$F:$F,0,Summary!G$2),'BPC Data'!$E:$E,Summary!$D340,'BPC Data'!$B:$B,Summary!$C340)</f>
        <v>1558</v>
      </c>
      <c r="H340" s="183">
        <f ca="1">SUMIFS(OFFSET('BPC Data'!$F:$F,0,Summary!H$2),'BPC Data'!$E:$E,Summary!$D340,'BPC Data'!$B:$B,Summary!$C340)</f>
        <v>1517</v>
      </c>
      <c r="I340" s="19">
        <f ca="1">SUMIFS(OFFSET('BPC Data'!$F:$F,0,Summary!I$2),'BPC Data'!$E:$E,Summary!$D340,'BPC Data'!$B:$B,Summary!$C340)</f>
        <v>1400</v>
      </c>
      <c r="J340" s="183">
        <f ca="1">SUMIFS(OFFSET('BPC Data'!$F:$F,0,Summary!J$2),'BPC Data'!$E:$E,Summary!$D340,'BPC Data'!$B:$B,Summary!$C340)</f>
        <v>1504</v>
      </c>
      <c r="K340" s="19">
        <f ca="1">SUMIFS(OFFSET('BPC Data'!$F:$F,0,Summary!K$2),'BPC Data'!$E:$E,Summary!$D340,'BPC Data'!$B:$B,Summary!$C340)</f>
        <v>1508</v>
      </c>
      <c r="L340" s="183">
        <f ca="1">SUMIFS(OFFSET('BPC Data'!$F:$F,0,Summary!L$2),'BPC Data'!$E:$E,Summary!$D340,'BPC Data'!$B:$B,Summary!$C340)</f>
        <v>1445</v>
      </c>
      <c r="M340" s="19">
        <f ca="1">SUMIFS(OFFSET('BPC Data'!$F:$F,0,Summary!M$2),'BPC Data'!$E:$E,Summary!$D340,'BPC Data'!$B:$B,Summary!$C340)</f>
        <v>1647</v>
      </c>
      <c r="N340" s="183">
        <f ca="1">SUMIFS(OFFSET('BPC Data'!$F:$F,0,Summary!N$2),'BPC Data'!$E:$E,Summary!$D340,'BPC Data'!$B:$B,Summary!$C340)</f>
        <v>1489</v>
      </c>
      <c r="O340" s="19">
        <f ca="1">SUMIFS(OFFSET('BPC Data'!$F:$F,0,Summary!O$2),'BPC Data'!$E:$E,Summary!$D340,'BPC Data'!$B:$B,Summary!$C340)</f>
        <v>1220</v>
      </c>
      <c r="P340" s="183">
        <f ca="1">SUMIFS(OFFSET('BPC Data'!$F:$F,0,Summary!P$2),'BPC Data'!$E:$E,Summary!$D340,'BPC Data'!$B:$B,Summary!$C340)</f>
        <v>1400</v>
      </c>
      <c r="Q340" s="19">
        <f ca="1">SUMIFS(OFFSET('BPC Data'!$F:$F,0,Summary!Q$2),'BPC Data'!$E:$E,Summary!$D340,'BPC Data'!$B:$B,Summary!$C340)</f>
        <v>1503</v>
      </c>
      <c r="R340" s="183">
        <f ca="1">SUMIFS(OFFSET('BPC Data'!$F:$F,0,Summary!R$2),'BPC Data'!$E:$E,Summary!$D340,'BPC Data'!$B:$B,Summary!$C340)</f>
        <v>1472</v>
      </c>
      <c r="S340" s="187">
        <f t="shared" ca="1" si="118"/>
        <v>17663</v>
      </c>
      <c r="T340" s="181"/>
    </row>
    <row r="341" spans="1:20" s="17" customFormat="1" outlineLevel="1" x14ac:dyDescent="0.25">
      <c r="A341" s="17">
        <f t="shared" ref="A341:A349" si="121">IF(AND(F341&lt;&gt;"",D341=""),A340+1,A340)</f>
        <v>31</v>
      </c>
      <c r="C341" t="str">
        <f>$F339</f>
        <v>SHC at Colonial Rehab &amp; Wellness Center</v>
      </c>
      <c r="D341" s="3" t="str">
        <f t="shared" si="102"/>
        <v>A_BEDS_TOTAL - Total Available Beds</v>
      </c>
      <c r="F341" s="24" t="str">
        <f>_xll.EVDES(D341)</f>
        <v>Total Available Beds</v>
      </c>
      <c r="G341" s="19">
        <f ca="1">SUMIFS(OFFSET('BPC Data'!$F:$F,0,Summary!G$2),'BPC Data'!$E:$E,Summary!$D341,'BPC Data'!$B:$B,Summary!$C341)</f>
        <v>65</v>
      </c>
      <c r="H341" s="183">
        <f ca="1">SUMIFS(OFFSET('BPC Data'!$F:$F,0,Summary!H$2),'BPC Data'!$E:$E,Summary!$D341,'BPC Data'!$B:$B,Summary!$C341)</f>
        <v>65</v>
      </c>
      <c r="I341" s="19">
        <f ca="1">SUMIFS(OFFSET('BPC Data'!$F:$F,0,Summary!I$2),'BPC Data'!$E:$E,Summary!$D341,'BPC Data'!$B:$B,Summary!$C341)</f>
        <v>65</v>
      </c>
      <c r="J341" s="183">
        <f ca="1">SUMIFS(OFFSET('BPC Data'!$F:$F,0,Summary!J$2),'BPC Data'!$E:$E,Summary!$D341,'BPC Data'!$B:$B,Summary!$C341)</f>
        <v>65</v>
      </c>
      <c r="K341" s="19">
        <f ca="1">SUMIFS(OFFSET('BPC Data'!$F:$F,0,Summary!K$2),'BPC Data'!$E:$E,Summary!$D341,'BPC Data'!$B:$B,Summary!$C341)</f>
        <v>65</v>
      </c>
      <c r="L341" s="183">
        <f ca="1">SUMIFS(OFFSET('BPC Data'!$F:$F,0,Summary!L$2),'BPC Data'!$E:$E,Summary!$D341,'BPC Data'!$B:$B,Summary!$C341)</f>
        <v>65</v>
      </c>
      <c r="M341" s="19">
        <f ca="1">SUMIFS(OFFSET('BPC Data'!$F:$F,0,Summary!M$2),'BPC Data'!$E:$E,Summary!$D341,'BPC Data'!$B:$B,Summary!$C341)</f>
        <v>65</v>
      </c>
      <c r="N341" s="183">
        <f ca="1">SUMIFS(OFFSET('BPC Data'!$F:$F,0,Summary!N$2),'BPC Data'!$E:$E,Summary!$D341,'BPC Data'!$B:$B,Summary!$C341)</f>
        <v>65</v>
      </c>
      <c r="O341" s="19">
        <f ca="1">SUMIFS(OFFSET('BPC Data'!$F:$F,0,Summary!O$2),'BPC Data'!$E:$E,Summary!$D341,'BPC Data'!$B:$B,Summary!$C341)</f>
        <v>65</v>
      </c>
      <c r="P341" s="183">
        <f ca="1">SUMIFS(OFFSET('BPC Data'!$F:$F,0,Summary!P$2),'BPC Data'!$E:$E,Summary!$D341,'BPC Data'!$B:$B,Summary!$C341)</f>
        <v>65</v>
      </c>
      <c r="Q341" s="19">
        <f ca="1">SUMIFS(OFFSET('BPC Data'!$F:$F,0,Summary!Q$2),'BPC Data'!$E:$E,Summary!$D341,'BPC Data'!$B:$B,Summary!$C341)</f>
        <v>65</v>
      </c>
      <c r="R341" s="183">
        <f ca="1">SUMIFS(OFFSET('BPC Data'!$F:$F,0,Summary!R$2),'BPC Data'!$E:$E,Summary!$D341,'BPC Data'!$B:$B,Summary!$C341)</f>
        <v>65</v>
      </c>
      <c r="S341" s="187">
        <f ca="1">R341</f>
        <v>65</v>
      </c>
      <c r="T341" s="181"/>
    </row>
    <row r="342" spans="1:20" s="17" customFormat="1" outlineLevel="1" x14ac:dyDescent="0.25">
      <c r="A342" s="17">
        <f t="shared" si="121"/>
        <v>31</v>
      </c>
      <c r="B342"/>
      <c r="C342" t="str">
        <f>$F339</f>
        <v>SHC at Colonial Rehab &amp; Wellness Center</v>
      </c>
      <c r="D342" s="3" t="str">
        <f t="shared" ref="D342:D405" si="122">$D331</f>
        <v>T_REVENUES - Total Tenant Revenues</v>
      </c>
      <c r="E342"/>
      <c r="F342" s="24" t="str">
        <f>_xll.EVDES(D342)</f>
        <v>Total Tenant Revenues</v>
      </c>
      <c r="G342" s="19">
        <f ca="1">SUMIFS(OFFSET('BPC Data'!$F:$F,0,Summary!G$2),'BPC Data'!$E:$E,Summary!$D342,'BPC Data'!$B:$B,Summary!$C342)</f>
        <v>391280</v>
      </c>
      <c r="H342" s="183">
        <f ca="1">SUMIFS(OFFSET('BPC Data'!$F:$F,0,Summary!H$2),'BPC Data'!$E:$E,Summary!$D342,'BPC Data'!$B:$B,Summary!$C342)</f>
        <v>407385</v>
      </c>
      <c r="I342" s="19">
        <f ca="1">SUMIFS(OFFSET('BPC Data'!$F:$F,0,Summary!I$2),'BPC Data'!$E:$E,Summary!$D342,'BPC Data'!$B:$B,Summary!$C342)</f>
        <v>400726</v>
      </c>
      <c r="J342" s="183">
        <f ca="1">SUMIFS(OFFSET('BPC Data'!$F:$F,0,Summary!J$2),'BPC Data'!$E:$E,Summary!$D342,'BPC Data'!$B:$B,Summary!$C342)</f>
        <v>701324</v>
      </c>
      <c r="K342" s="19">
        <f ca="1">SUMIFS(OFFSET('BPC Data'!$F:$F,0,Summary!K$2),'BPC Data'!$E:$E,Summary!$D342,'BPC Data'!$B:$B,Summary!$C342)</f>
        <v>367181</v>
      </c>
      <c r="L342" s="183">
        <f ca="1">SUMIFS(OFFSET('BPC Data'!$F:$F,0,Summary!L$2),'BPC Data'!$E:$E,Summary!$D342,'BPC Data'!$B:$B,Summary!$C342)</f>
        <v>344834</v>
      </c>
      <c r="M342" s="19">
        <f ca="1">SUMIFS(OFFSET('BPC Data'!$F:$F,0,Summary!M$2),'BPC Data'!$E:$E,Summary!$D342,'BPC Data'!$B:$B,Summary!$C342)</f>
        <v>511334</v>
      </c>
      <c r="N342" s="183">
        <f ca="1">SUMIFS(OFFSET('BPC Data'!$F:$F,0,Summary!N$2),'BPC Data'!$E:$E,Summary!$D342,'BPC Data'!$B:$B,Summary!$C342)</f>
        <v>354483</v>
      </c>
      <c r="O342" s="19">
        <f ca="1">SUMIFS(OFFSET('BPC Data'!$F:$F,0,Summary!O$2),'BPC Data'!$E:$E,Summary!$D342,'BPC Data'!$B:$B,Summary!$C342)</f>
        <v>292513</v>
      </c>
      <c r="P342" s="183">
        <f ca="1">SUMIFS(OFFSET('BPC Data'!$F:$F,0,Summary!P$2),'BPC Data'!$E:$E,Summary!$D342,'BPC Data'!$B:$B,Summary!$C342)</f>
        <v>355394</v>
      </c>
      <c r="Q342" s="19">
        <f ca="1">SUMIFS(OFFSET('BPC Data'!$F:$F,0,Summary!Q$2),'BPC Data'!$E:$E,Summary!$D342,'BPC Data'!$B:$B,Summary!$C342)</f>
        <v>378123</v>
      </c>
      <c r="R342" s="183">
        <f ca="1">SUMIFS(OFFSET('BPC Data'!$F:$F,0,Summary!R$2),'BPC Data'!$E:$E,Summary!$D342,'BPC Data'!$B:$B,Summary!$C342)</f>
        <v>350095</v>
      </c>
      <c r="S342" s="187">
        <f t="shared" ca="1" si="118"/>
        <v>4854672</v>
      </c>
      <c r="T342" s="181"/>
    </row>
    <row r="343" spans="1:20" s="17" customFormat="1" outlineLevel="1" x14ac:dyDescent="0.25">
      <c r="A343" s="17">
        <f t="shared" si="121"/>
        <v>31</v>
      </c>
      <c r="B343"/>
      <c r="C343" t="str">
        <f>$F339</f>
        <v>SHC at Colonial Rehab &amp; Wellness Center</v>
      </c>
      <c r="D343" s="3" t="str">
        <f t="shared" si="122"/>
        <v>T_OPEX - Tenant Operating Expenses</v>
      </c>
      <c r="E343"/>
      <c r="F343" s="24" t="str">
        <f>_xll.EVDES(D343)</f>
        <v>Tenant Operating Expenses</v>
      </c>
      <c r="G343" s="19">
        <f ca="1">SUMIFS(OFFSET('BPC Data'!$F:$F,0,Summary!G$2),'BPC Data'!$E:$E,Summary!$D343,'BPC Data'!$B:$B,Summary!$C343)</f>
        <v>391873</v>
      </c>
      <c r="H343" s="183">
        <f ca="1">SUMIFS(OFFSET('BPC Data'!$F:$F,0,Summary!H$2),'BPC Data'!$E:$E,Summary!$D343,'BPC Data'!$B:$B,Summary!$C343)</f>
        <v>393521</v>
      </c>
      <c r="I343" s="19">
        <f ca="1">SUMIFS(OFFSET('BPC Data'!$F:$F,0,Summary!I$2),'BPC Data'!$E:$E,Summary!$D343,'BPC Data'!$B:$B,Summary!$C343)</f>
        <v>360734</v>
      </c>
      <c r="J343" s="183">
        <f ca="1">SUMIFS(OFFSET('BPC Data'!$F:$F,0,Summary!J$2),'BPC Data'!$E:$E,Summary!$D343,'BPC Data'!$B:$B,Summary!$C343)</f>
        <v>541316</v>
      </c>
      <c r="K343" s="19">
        <f ca="1">SUMIFS(OFFSET('BPC Data'!$F:$F,0,Summary!K$2),'BPC Data'!$E:$E,Summary!$D343,'BPC Data'!$B:$B,Summary!$C343)</f>
        <v>358857</v>
      </c>
      <c r="L343" s="183">
        <f ca="1">SUMIFS(OFFSET('BPC Data'!$F:$F,0,Summary!L$2),'BPC Data'!$E:$E,Summary!$D343,'BPC Data'!$B:$B,Summary!$C343)</f>
        <v>330305</v>
      </c>
      <c r="M343" s="19">
        <f ca="1">SUMIFS(OFFSET('BPC Data'!$F:$F,0,Summary!M$2),'BPC Data'!$E:$E,Summary!$D343,'BPC Data'!$B:$B,Summary!$C343)</f>
        <v>365172</v>
      </c>
      <c r="N343" s="183">
        <f ca="1">SUMIFS(OFFSET('BPC Data'!$F:$F,0,Summary!N$2),'BPC Data'!$E:$E,Summary!$D343,'BPC Data'!$B:$B,Summary!$C343)</f>
        <v>365178</v>
      </c>
      <c r="O343" s="19">
        <f ca="1">SUMIFS(OFFSET('BPC Data'!$F:$F,0,Summary!O$2),'BPC Data'!$E:$E,Summary!$D343,'BPC Data'!$B:$B,Summary!$C343)</f>
        <v>336994</v>
      </c>
      <c r="P343" s="183">
        <f ca="1">SUMIFS(OFFSET('BPC Data'!$F:$F,0,Summary!P$2),'BPC Data'!$E:$E,Summary!$D343,'BPC Data'!$B:$B,Summary!$C343)</f>
        <v>333366</v>
      </c>
      <c r="Q343" s="19">
        <f ca="1">SUMIFS(OFFSET('BPC Data'!$F:$F,0,Summary!Q$2),'BPC Data'!$E:$E,Summary!$D343,'BPC Data'!$B:$B,Summary!$C343)</f>
        <v>356050</v>
      </c>
      <c r="R343" s="183">
        <f ca="1">SUMIFS(OFFSET('BPC Data'!$F:$F,0,Summary!R$2),'BPC Data'!$E:$E,Summary!$D343,'BPC Data'!$B:$B,Summary!$C343)</f>
        <v>332232</v>
      </c>
      <c r="S343" s="187">
        <f t="shared" ca="1" si="118"/>
        <v>4465598</v>
      </c>
      <c r="T343" s="181"/>
    </row>
    <row r="344" spans="1:20" s="17" customFormat="1" outlineLevel="1" x14ac:dyDescent="0.25">
      <c r="A344" s="17">
        <f t="shared" si="121"/>
        <v>31</v>
      </c>
      <c r="B344"/>
      <c r="C344" t="str">
        <f>$F339</f>
        <v>SHC at Colonial Rehab &amp; Wellness Center</v>
      </c>
      <c r="D344" s="3" t="str">
        <f t="shared" si="122"/>
        <v>T_BAD_DEBT - Tenant Bad Debt Expense</v>
      </c>
      <c r="E344"/>
      <c r="F344" s="24" t="str">
        <f>_xll.EVDES(D344)</f>
        <v>Tenant Bad Debt Expense</v>
      </c>
      <c r="G344" s="19">
        <f ca="1">SUMIFS(OFFSET('BPC Data'!$F:$F,0,Summary!G$2),'BPC Data'!$E:$E,Summary!$D344,'BPC Data'!$B:$B,Summary!$C344)</f>
        <v>7500</v>
      </c>
      <c r="H344" s="183">
        <f ca="1">SUMIFS(OFFSET('BPC Data'!$F:$F,0,Summary!H$2),'BPC Data'!$E:$E,Summary!$D344,'BPC Data'!$B:$B,Summary!$C344)</f>
        <v>4308</v>
      </c>
      <c r="I344" s="19">
        <f ca="1">SUMIFS(OFFSET('BPC Data'!$F:$F,0,Summary!I$2),'BPC Data'!$E:$E,Summary!$D344,'BPC Data'!$B:$B,Summary!$C344)</f>
        <v>0</v>
      </c>
      <c r="J344" s="183">
        <f ca="1">SUMIFS(OFFSET('BPC Data'!$F:$F,0,Summary!J$2),'BPC Data'!$E:$E,Summary!$D344,'BPC Data'!$B:$B,Summary!$C344)</f>
        <v>9228</v>
      </c>
      <c r="K344" s="19">
        <f ca="1">SUMIFS(OFFSET('BPC Data'!$F:$F,0,Summary!K$2),'BPC Data'!$E:$E,Summary!$D344,'BPC Data'!$B:$B,Summary!$C344)</f>
        <v>5000</v>
      </c>
      <c r="L344" s="183">
        <f ca="1">SUMIFS(OFFSET('BPC Data'!$F:$F,0,Summary!L$2),'BPC Data'!$E:$E,Summary!$D344,'BPC Data'!$B:$B,Summary!$C344)</f>
        <v>7500</v>
      </c>
      <c r="M344" s="19">
        <f ca="1">SUMIFS(OFFSET('BPC Data'!$F:$F,0,Summary!M$2),'BPC Data'!$E:$E,Summary!$D344,'BPC Data'!$B:$B,Summary!$C344)</f>
        <v>0</v>
      </c>
      <c r="N344" s="183">
        <f ca="1">SUMIFS(OFFSET('BPC Data'!$F:$F,0,Summary!N$2),'BPC Data'!$E:$E,Summary!$D344,'BPC Data'!$B:$B,Summary!$C344)</f>
        <v>2500</v>
      </c>
      <c r="O344" s="19">
        <f ca="1">SUMIFS(OFFSET('BPC Data'!$F:$F,0,Summary!O$2),'BPC Data'!$E:$E,Summary!$D344,'BPC Data'!$B:$B,Summary!$C344)</f>
        <v>2500</v>
      </c>
      <c r="P344" s="183">
        <f ca="1">SUMIFS(OFFSET('BPC Data'!$F:$F,0,Summary!P$2),'BPC Data'!$E:$E,Summary!$D344,'BPC Data'!$B:$B,Summary!$C344)</f>
        <v>5000</v>
      </c>
      <c r="Q344" s="19">
        <f ca="1">SUMIFS(OFFSET('BPC Data'!$F:$F,0,Summary!Q$2),'BPC Data'!$E:$E,Summary!$D344,'BPC Data'!$B:$B,Summary!$C344)</f>
        <v>0</v>
      </c>
      <c r="R344" s="183">
        <f ca="1">SUMIFS(OFFSET('BPC Data'!$F:$F,0,Summary!R$2),'BPC Data'!$E:$E,Summary!$D344,'BPC Data'!$B:$B,Summary!$C344)</f>
        <v>0</v>
      </c>
      <c r="S344" s="187">
        <f t="shared" ca="1" si="118"/>
        <v>43536</v>
      </c>
      <c r="T344" s="181"/>
    </row>
    <row r="345" spans="1:20" s="17" customFormat="1" outlineLevel="1" x14ac:dyDescent="0.25">
      <c r="A345" s="17">
        <f t="shared" si="121"/>
        <v>31</v>
      </c>
      <c r="B345"/>
      <c r="C345" t="str">
        <f>$F339</f>
        <v>SHC at Colonial Rehab &amp; Wellness Center</v>
      </c>
      <c r="D345" s="2" t="str">
        <f t="shared" si="122"/>
        <v>T_EBITDARM - EBITDARM</v>
      </c>
      <c r="E345"/>
      <c r="F345" s="24" t="str">
        <f>_xll.EVDES(D345)</f>
        <v>EBITDARM</v>
      </c>
      <c r="G345" s="19">
        <f ca="1">SUMIFS(OFFSET('BPC Data'!$F:$F,0,Summary!G$2),'BPC Data'!$E:$E,Summary!$D345,'BPC Data'!$B:$B,Summary!$C345)</f>
        <v>-593</v>
      </c>
      <c r="H345" s="183">
        <f ca="1">SUMIFS(OFFSET('BPC Data'!$F:$F,0,Summary!H$2),'BPC Data'!$E:$E,Summary!$D345,'BPC Data'!$B:$B,Summary!$C345)</f>
        <v>13864</v>
      </c>
      <c r="I345" s="19">
        <f ca="1">SUMIFS(OFFSET('BPC Data'!$F:$F,0,Summary!I$2),'BPC Data'!$E:$E,Summary!$D345,'BPC Data'!$B:$B,Summary!$C345)</f>
        <v>39992</v>
      </c>
      <c r="J345" s="183">
        <f ca="1">SUMIFS(OFFSET('BPC Data'!$F:$F,0,Summary!J$2),'BPC Data'!$E:$E,Summary!$D345,'BPC Data'!$B:$B,Summary!$C345)</f>
        <v>160008</v>
      </c>
      <c r="K345" s="19">
        <f ca="1">SUMIFS(OFFSET('BPC Data'!$F:$F,0,Summary!K$2),'BPC Data'!$E:$E,Summary!$D345,'BPC Data'!$B:$B,Summary!$C345)</f>
        <v>8324</v>
      </c>
      <c r="L345" s="183">
        <f ca="1">SUMIFS(OFFSET('BPC Data'!$F:$F,0,Summary!L$2),'BPC Data'!$E:$E,Summary!$D345,'BPC Data'!$B:$B,Summary!$C345)</f>
        <v>14529</v>
      </c>
      <c r="M345" s="19">
        <f ca="1">SUMIFS(OFFSET('BPC Data'!$F:$F,0,Summary!M$2),'BPC Data'!$E:$E,Summary!$D345,'BPC Data'!$B:$B,Summary!$C345)</f>
        <v>146162</v>
      </c>
      <c r="N345" s="183">
        <f ca="1">SUMIFS(OFFSET('BPC Data'!$F:$F,0,Summary!N$2),'BPC Data'!$E:$E,Summary!$D345,'BPC Data'!$B:$B,Summary!$C345)</f>
        <v>-10695</v>
      </c>
      <c r="O345" s="19">
        <f ca="1">SUMIFS(OFFSET('BPC Data'!$F:$F,0,Summary!O$2),'BPC Data'!$E:$E,Summary!$D345,'BPC Data'!$B:$B,Summary!$C345)</f>
        <v>-44481</v>
      </c>
      <c r="P345" s="183">
        <f ca="1">SUMIFS(OFFSET('BPC Data'!$F:$F,0,Summary!P$2),'BPC Data'!$E:$E,Summary!$D345,'BPC Data'!$B:$B,Summary!$C345)</f>
        <v>22028</v>
      </c>
      <c r="Q345" s="19">
        <f ca="1">SUMIFS(OFFSET('BPC Data'!$F:$F,0,Summary!Q$2),'BPC Data'!$E:$E,Summary!$D345,'BPC Data'!$B:$B,Summary!$C345)</f>
        <v>22073</v>
      </c>
      <c r="R345" s="183">
        <f ca="1">SUMIFS(OFFSET('BPC Data'!$F:$F,0,Summary!R$2),'BPC Data'!$E:$E,Summary!$D345,'BPC Data'!$B:$B,Summary!$C345)</f>
        <v>17863</v>
      </c>
      <c r="S345" s="187">
        <f t="shared" ca="1" si="118"/>
        <v>389074</v>
      </c>
      <c r="T345" s="181"/>
    </row>
    <row r="346" spans="1:20" s="17" customFormat="1" outlineLevel="1" x14ac:dyDescent="0.25">
      <c r="A346" s="17">
        <f t="shared" si="121"/>
        <v>31</v>
      </c>
      <c r="B346"/>
      <c r="C346" t="str">
        <f>$F339</f>
        <v>SHC at Colonial Rehab &amp; Wellness Center</v>
      </c>
      <c r="D346" s="2" t="str">
        <f t="shared" si="122"/>
        <v>T_MGMT_FEE - Tenant Management Fee - Actual</v>
      </c>
      <c r="E346"/>
      <c r="F346" s="24" t="str">
        <f>_xll.EVDES(D346)</f>
        <v>Tenant Management Fee - Actual</v>
      </c>
      <c r="G346" s="19">
        <f ca="1">SUMIFS(OFFSET('BPC Data'!$F:$F,0,Summary!G$2),'BPC Data'!$E:$E,Summary!$D346,'BPC Data'!$B:$B,Summary!$C346)</f>
        <v>19648</v>
      </c>
      <c r="H346" s="183">
        <f ca="1">SUMIFS(OFFSET('BPC Data'!$F:$F,0,Summary!H$2),'BPC Data'!$E:$E,Summary!$D346,'BPC Data'!$B:$B,Summary!$C346)</f>
        <v>20573</v>
      </c>
      <c r="I346" s="19">
        <f ca="1">SUMIFS(OFFSET('BPC Data'!$F:$F,0,Summary!I$2),'BPC Data'!$E:$E,Summary!$D346,'BPC Data'!$B:$B,Summary!$C346)</f>
        <v>20237</v>
      </c>
      <c r="J346" s="183">
        <f ca="1">SUMIFS(OFFSET('BPC Data'!$F:$F,0,Summary!J$2),'BPC Data'!$E:$E,Summary!$D346,'BPC Data'!$B:$B,Summary!$C346)</f>
        <v>37854</v>
      </c>
      <c r="K346" s="19">
        <f ca="1">SUMIFS(OFFSET('BPC Data'!$F:$F,0,Summary!K$2),'BPC Data'!$E:$E,Summary!$D346,'BPC Data'!$B:$B,Summary!$C346)</f>
        <v>18543</v>
      </c>
      <c r="L346" s="183">
        <f ca="1">SUMIFS(OFFSET('BPC Data'!$F:$F,0,Summary!L$2),'BPC Data'!$E:$E,Summary!$D346,'BPC Data'!$B:$B,Summary!$C346)</f>
        <v>17414</v>
      </c>
      <c r="M346" s="19">
        <f ca="1">SUMIFS(OFFSET('BPC Data'!$F:$F,0,Summary!M$2),'BPC Data'!$E:$E,Summary!$D346,'BPC Data'!$B:$B,Summary!$C346)</f>
        <v>25822</v>
      </c>
      <c r="N346" s="183">
        <f ca="1">SUMIFS(OFFSET('BPC Data'!$F:$F,0,Summary!N$2),'BPC Data'!$E:$E,Summary!$D346,'BPC Data'!$B:$B,Summary!$C346)</f>
        <v>17901</v>
      </c>
      <c r="O346" s="19">
        <f ca="1">SUMIFS(OFFSET('BPC Data'!$F:$F,0,Summary!O$2),'BPC Data'!$E:$E,Summary!$D346,'BPC Data'!$B:$B,Summary!$C346)</f>
        <v>14772</v>
      </c>
      <c r="P346" s="183">
        <f ca="1">SUMIFS(OFFSET('BPC Data'!$F:$F,0,Summary!P$2),'BPC Data'!$E:$E,Summary!$D346,'BPC Data'!$B:$B,Summary!$C346)</f>
        <v>17947</v>
      </c>
      <c r="Q346" s="19">
        <f ca="1">SUMIFS(OFFSET('BPC Data'!$F:$F,0,Summary!Q$2),'BPC Data'!$E:$E,Summary!$D346,'BPC Data'!$B:$B,Summary!$C346)</f>
        <v>19095</v>
      </c>
      <c r="R346" s="183">
        <f ca="1">SUMIFS(OFFSET('BPC Data'!$F:$F,0,Summary!R$2),'BPC Data'!$E:$E,Summary!$D346,'BPC Data'!$B:$B,Summary!$C346)</f>
        <v>17680</v>
      </c>
      <c r="S346" s="187">
        <f t="shared" ca="1" si="118"/>
        <v>247486</v>
      </c>
      <c r="T346" s="181"/>
    </row>
    <row r="347" spans="1:20" s="17" customFormat="1" outlineLevel="1" x14ac:dyDescent="0.25">
      <c r="A347" s="17">
        <f t="shared" si="121"/>
        <v>31</v>
      </c>
      <c r="B347"/>
      <c r="C347" t="str">
        <f>$F339</f>
        <v>SHC at Colonial Rehab &amp; Wellness Center</v>
      </c>
      <c r="D347" s="1" t="str">
        <f t="shared" si="122"/>
        <v>T_EBITDAR - EBITDAR</v>
      </c>
      <c r="E347"/>
      <c r="F347" s="24" t="str">
        <f>_xll.EVDES(D347)</f>
        <v>EBITDAR</v>
      </c>
      <c r="G347" s="19">
        <f ca="1">SUMIFS(OFFSET('BPC Data'!$F:$F,0,Summary!G$2),'BPC Data'!$E:$E,Summary!$D347,'BPC Data'!$B:$B,Summary!$C347)</f>
        <v>-20241</v>
      </c>
      <c r="H347" s="183">
        <f ca="1">SUMIFS(OFFSET('BPC Data'!$F:$F,0,Summary!H$2),'BPC Data'!$E:$E,Summary!$D347,'BPC Data'!$B:$B,Summary!$C347)</f>
        <v>-6709</v>
      </c>
      <c r="I347" s="19">
        <f ca="1">SUMIFS(OFFSET('BPC Data'!$F:$F,0,Summary!I$2),'BPC Data'!$E:$E,Summary!$D347,'BPC Data'!$B:$B,Summary!$C347)</f>
        <v>19755</v>
      </c>
      <c r="J347" s="183">
        <f ca="1">SUMIFS(OFFSET('BPC Data'!$F:$F,0,Summary!J$2),'BPC Data'!$E:$E,Summary!$D347,'BPC Data'!$B:$B,Summary!$C347)</f>
        <v>122154</v>
      </c>
      <c r="K347" s="19">
        <f ca="1">SUMIFS(OFFSET('BPC Data'!$F:$F,0,Summary!K$2),'BPC Data'!$E:$E,Summary!$D347,'BPC Data'!$B:$B,Summary!$C347)</f>
        <v>-10219</v>
      </c>
      <c r="L347" s="183">
        <f ca="1">SUMIFS(OFFSET('BPC Data'!$F:$F,0,Summary!L$2),'BPC Data'!$E:$E,Summary!$D347,'BPC Data'!$B:$B,Summary!$C347)</f>
        <v>-2885</v>
      </c>
      <c r="M347" s="19">
        <f ca="1">SUMIFS(OFFSET('BPC Data'!$F:$F,0,Summary!M$2),'BPC Data'!$E:$E,Summary!$D347,'BPC Data'!$B:$B,Summary!$C347)</f>
        <v>120340</v>
      </c>
      <c r="N347" s="183">
        <f ca="1">SUMIFS(OFFSET('BPC Data'!$F:$F,0,Summary!N$2),'BPC Data'!$E:$E,Summary!$D347,'BPC Data'!$B:$B,Summary!$C347)</f>
        <v>-28596</v>
      </c>
      <c r="O347" s="19">
        <f ca="1">SUMIFS(OFFSET('BPC Data'!$F:$F,0,Summary!O$2),'BPC Data'!$E:$E,Summary!$D347,'BPC Data'!$B:$B,Summary!$C347)</f>
        <v>-59253</v>
      </c>
      <c r="P347" s="183">
        <f ca="1">SUMIFS(OFFSET('BPC Data'!$F:$F,0,Summary!P$2),'BPC Data'!$E:$E,Summary!$D347,'BPC Data'!$B:$B,Summary!$C347)</f>
        <v>4081</v>
      </c>
      <c r="Q347" s="19">
        <f ca="1">SUMIFS(OFFSET('BPC Data'!$F:$F,0,Summary!Q$2),'BPC Data'!$E:$E,Summary!$D347,'BPC Data'!$B:$B,Summary!$C347)</f>
        <v>2978</v>
      </c>
      <c r="R347" s="183">
        <f ca="1">SUMIFS(OFFSET('BPC Data'!$F:$F,0,Summary!R$2),'BPC Data'!$E:$E,Summary!$D347,'BPC Data'!$B:$B,Summary!$C347)</f>
        <v>183</v>
      </c>
      <c r="S347" s="187">
        <f t="shared" ca="1" si="118"/>
        <v>141588</v>
      </c>
      <c r="T347" s="181"/>
    </row>
    <row r="348" spans="1:20" s="17" customFormat="1" outlineLevel="1" x14ac:dyDescent="0.25">
      <c r="A348" s="17">
        <f t="shared" si="121"/>
        <v>31</v>
      </c>
      <c r="B348"/>
      <c r="C348" t="str">
        <f>$F339</f>
        <v>SHC at Colonial Rehab &amp; Wellness Center</v>
      </c>
      <c r="D348" s="1" t="str">
        <f t="shared" si="122"/>
        <v>T_RENT_EXP - Tenant Rent Expense</v>
      </c>
      <c r="E348"/>
      <c r="F348" s="24" t="str">
        <f>_xll.EVDES(D348)</f>
        <v>Tenant Rent Expense</v>
      </c>
      <c r="G348" s="19">
        <f ca="1">SUMIFS(OFFSET('BPC Data'!$F:$F,0,Summary!G$2),'BPC Data'!$E:$E,Summary!$D348,'BPC Data'!$B:$B,Summary!$C348)</f>
        <v>43768</v>
      </c>
      <c r="H348" s="183">
        <f ca="1">SUMIFS(OFFSET('BPC Data'!$F:$F,0,Summary!H$2),'BPC Data'!$E:$E,Summary!$D348,'BPC Data'!$B:$B,Summary!$C348)</f>
        <v>43768</v>
      </c>
      <c r="I348" s="19">
        <f ca="1">SUMIFS(OFFSET('BPC Data'!$F:$F,0,Summary!I$2),'BPC Data'!$E:$E,Summary!$D348,'BPC Data'!$B:$B,Summary!$C348)</f>
        <v>43768</v>
      </c>
      <c r="J348" s="183">
        <f ca="1">SUMIFS(OFFSET('BPC Data'!$F:$F,0,Summary!J$2),'BPC Data'!$E:$E,Summary!$D348,'BPC Data'!$B:$B,Summary!$C348)</f>
        <v>44862</v>
      </c>
      <c r="K348" s="19">
        <f ca="1">SUMIFS(OFFSET('BPC Data'!$F:$F,0,Summary!K$2),'BPC Data'!$E:$E,Summary!$D348,'BPC Data'!$B:$B,Summary!$C348)</f>
        <v>44862</v>
      </c>
      <c r="L348" s="183">
        <f ca="1">SUMIFS(OFFSET('BPC Data'!$F:$F,0,Summary!L$2),'BPC Data'!$E:$E,Summary!$D348,'BPC Data'!$B:$B,Summary!$C348)</f>
        <v>44862</v>
      </c>
      <c r="M348" s="19">
        <f ca="1">SUMIFS(OFFSET('BPC Data'!$F:$F,0,Summary!M$2),'BPC Data'!$E:$E,Summary!$D348,'BPC Data'!$B:$B,Summary!$C348)</f>
        <v>44862</v>
      </c>
      <c r="N348" s="183">
        <f ca="1">SUMIFS(OFFSET('BPC Data'!$F:$F,0,Summary!N$2),'BPC Data'!$E:$E,Summary!$D348,'BPC Data'!$B:$B,Summary!$C348)</f>
        <v>44862</v>
      </c>
      <c r="O348" s="19">
        <f ca="1">SUMIFS(OFFSET('BPC Data'!$F:$F,0,Summary!O$2),'BPC Data'!$E:$E,Summary!$D348,'BPC Data'!$B:$B,Summary!$C348)</f>
        <v>44862</v>
      </c>
      <c r="P348" s="183">
        <f ca="1">SUMIFS(OFFSET('BPC Data'!$F:$F,0,Summary!P$2),'BPC Data'!$E:$E,Summary!$D348,'BPC Data'!$B:$B,Summary!$C348)</f>
        <v>44862</v>
      </c>
      <c r="Q348" s="19">
        <f ca="1">SUMIFS(OFFSET('BPC Data'!$F:$F,0,Summary!Q$2),'BPC Data'!$E:$E,Summary!$D348,'BPC Data'!$B:$B,Summary!$C348)</f>
        <v>44862</v>
      </c>
      <c r="R348" s="183">
        <f ca="1">SUMIFS(OFFSET('BPC Data'!$F:$F,0,Summary!R$2),'BPC Data'!$E:$E,Summary!$D348,'BPC Data'!$B:$B,Summary!$C348)</f>
        <v>44862</v>
      </c>
      <c r="S348" s="187">
        <f t="shared" ca="1" si="118"/>
        <v>535062</v>
      </c>
      <c r="T348" s="181"/>
    </row>
    <row r="349" spans="1:20" s="17" customFormat="1" outlineLevel="1" x14ac:dyDescent="0.25">
      <c r="A349" s="17">
        <f t="shared" si="121"/>
        <v>31</v>
      </c>
      <c r="B349"/>
      <c r="C349"/>
      <c r="D349" s="1" t="str">
        <f t="shared" si="122"/>
        <v>x</v>
      </c>
      <c r="E349"/>
      <c r="F349" s="24" t="s">
        <v>0</v>
      </c>
      <c r="G349" s="12">
        <f ca="1">G347/G348</f>
        <v>-0.46246115883750688</v>
      </c>
      <c r="H349" s="184">
        <f t="shared" ref="H349:I349" ca="1" si="123">H347/H348</f>
        <v>-0.15328550539206726</v>
      </c>
      <c r="I349" s="12">
        <f t="shared" ca="1" si="123"/>
        <v>0.4513571559129958</v>
      </c>
      <c r="J349" s="184">
        <f t="shared" ref="J349:R349" ca="1" si="124">J347/J348</f>
        <v>2.7228835094289154</v>
      </c>
      <c r="K349" s="12">
        <f t="shared" ca="1" si="124"/>
        <v>-0.2277874370291115</v>
      </c>
      <c r="L349" s="184">
        <f t="shared" ca="1" si="124"/>
        <v>-6.4308323302572329E-2</v>
      </c>
      <c r="M349" s="12">
        <f t="shared" ca="1" si="124"/>
        <v>2.6824483973072981</v>
      </c>
      <c r="N349" s="184">
        <f t="shared" ca="1" si="124"/>
        <v>-0.63742142570549687</v>
      </c>
      <c r="O349" s="12">
        <f t="shared" ca="1" si="124"/>
        <v>-1.3207837367928315</v>
      </c>
      <c r="P349" s="184">
        <f t="shared" ca="1" si="124"/>
        <v>9.0967856983638712E-2</v>
      </c>
      <c r="Q349" s="12">
        <f t="shared" ca="1" si="124"/>
        <v>6.638134724265525E-2</v>
      </c>
      <c r="R349" s="184">
        <f t="shared" ca="1" si="124"/>
        <v>4.079176140163167E-3</v>
      </c>
      <c r="S349" s="187">
        <f t="shared" ca="1" si="118"/>
        <v>3.1520698559560802</v>
      </c>
      <c r="T349" s="181"/>
    </row>
    <row r="350" spans="1:20" s="17" customFormat="1" outlineLevel="1" x14ac:dyDescent="0.25">
      <c r="A350" s="17">
        <f>IF(AND(D350&lt;&gt;"",C350=""),A349+1,A349)</f>
        <v>32</v>
      </c>
      <c r="B350" s="5"/>
      <c r="C350" s="5"/>
      <c r="D350" s="5" t="str">
        <f t="shared" si="122"/>
        <v>x</v>
      </c>
      <c r="E350" s="5"/>
      <c r="F350" s="23" t="str">
        <f>INDEX(PropertyList!$D:$D,MATCH(Summary!$A350,PropertyList!$C:$C,0))</f>
        <v>SHC of Glasgow Rehab &amp; Wellness Center</v>
      </c>
      <c r="G350" s="11"/>
      <c r="H350" s="182"/>
      <c r="I350" s="11"/>
      <c r="J350" s="182"/>
      <c r="K350" s="11"/>
      <c r="L350" s="182"/>
      <c r="M350" s="11"/>
      <c r="N350" s="182"/>
      <c r="O350" s="11"/>
      <c r="P350" s="182"/>
      <c r="Q350" s="11"/>
      <c r="R350" s="182"/>
      <c r="S350" s="187">
        <f t="shared" si="118"/>
        <v>0</v>
      </c>
      <c r="T350" s="181"/>
    </row>
    <row r="351" spans="1:20" s="17" customFormat="1" outlineLevel="1" x14ac:dyDescent="0.25">
      <c r="A351" s="17">
        <f>IF(AND(F351&lt;&gt;"",D351=""),A350+1,A350)</f>
        <v>32</v>
      </c>
      <c r="C351" t="str">
        <f>$F350</f>
        <v>SHC of Glasgow Rehab &amp; Wellness Center</v>
      </c>
      <c r="D351" s="3" t="str">
        <f t="shared" si="122"/>
        <v>PAY_PAT_DAYS - Total Payor Patient Days</v>
      </c>
      <c r="F351" s="24" t="str">
        <f>_xll.EVDES(D351)</f>
        <v>Total Payor Patient Days</v>
      </c>
      <c r="G351" s="19">
        <f ca="1">SUMIFS(OFFSET('BPC Data'!$F:$F,0,Summary!G$2),'BPC Data'!$E:$E,Summary!$D351,'BPC Data'!$B:$B,Summary!$C351)</f>
        <v>1862</v>
      </c>
      <c r="H351" s="183">
        <f ca="1">SUMIFS(OFFSET('BPC Data'!$F:$F,0,Summary!H$2),'BPC Data'!$E:$E,Summary!$D351,'BPC Data'!$B:$B,Summary!$C351)</f>
        <v>1825</v>
      </c>
      <c r="I351" s="19">
        <f ca="1">SUMIFS(OFFSET('BPC Data'!$F:$F,0,Summary!I$2),'BPC Data'!$E:$E,Summary!$D351,'BPC Data'!$B:$B,Summary!$C351)</f>
        <v>1606</v>
      </c>
      <c r="J351" s="183">
        <f ca="1">SUMIFS(OFFSET('BPC Data'!$F:$F,0,Summary!J$2),'BPC Data'!$E:$E,Summary!$D351,'BPC Data'!$B:$B,Summary!$C351)</f>
        <v>1539</v>
      </c>
      <c r="K351" s="19">
        <f ca="1">SUMIFS(OFFSET('BPC Data'!$F:$F,0,Summary!K$2),'BPC Data'!$E:$E,Summary!$D351,'BPC Data'!$B:$B,Summary!$C351)</f>
        <v>1612</v>
      </c>
      <c r="L351" s="183">
        <f ca="1">SUMIFS(OFFSET('BPC Data'!$F:$F,0,Summary!L$2),'BPC Data'!$E:$E,Summary!$D351,'BPC Data'!$B:$B,Summary!$C351)</f>
        <v>1477</v>
      </c>
      <c r="M351" s="19">
        <f ca="1">SUMIFS(OFFSET('BPC Data'!$F:$F,0,Summary!M$2),'BPC Data'!$E:$E,Summary!$D351,'BPC Data'!$B:$B,Summary!$C351)</f>
        <v>1663</v>
      </c>
      <c r="N351" s="183">
        <f ca="1">SUMIFS(OFFSET('BPC Data'!$F:$F,0,Summary!N$2),'BPC Data'!$E:$E,Summary!$D351,'BPC Data'!$B:$B,Summary!$C351)</f>
        <v>1624</v>
      </c>
      <c r="O351" s="19">
        <f ca="1">SUMIFS(OFFSET('BPC Data'!$F:$F,0,Summary!O$2),'BPC Data'!$E:$E,Summary!$D351,'BPC Data'!$B:$B,Summary!$C351)</f>
        <v>1767</v>
      </c>
      <c r="P351" s="183">
        <f ca="1">SUMIFS(OFFSET('BPC Data'!$F:$F,0,Summary!P$2),'BPC Data'!$E:$E,Summary!$D351,'BPC Data'!$B:$B,Summary!$C351)</f>
        <v>1851</v>
      </c>
      <c r="Q351" s="19">
        <f ca="1">SUMIFS(OFFSET('BPC Data'!$F:$F,0,Summary!Q$2),'BPC Data'!$E:$E,Summary!$D351,'BPC Data'!$B:$B,Summary!$C351)</f>
        <v>1941</v>
      </c>
      <c r="R351" s="183">
        <f ca="1">SUMIFS(OFFSET('BPC Data'!$F:$F,0,Summary!R$2),'BPC Data'!$E:$E,Summary!$D351,'BPC Data'!$B:$B,Summary!$C351)</f>
        <v>1936</v>
      </c>
      <c r="S351" s="187">
        <f t="shared" ca="1" si="118"/>
        <v>20703</v>
      </c>
      <c r="T351" s="181"/>
    </row>
    <row r="352" spans="1:20" s="17" customFormat="1" outlineLevel="1" x14ac:dyDescent="0.25">
      <c r="A352" s="17">
        <f t="shared" ref="A352:A360" si="125">IF(AND(F352&lt;&gt;"",D352=""),A351+1,A351)</f>
        <v>32</v>
      </c>
      <c r="C352" t="str">
        <f>$F350</f>
        <v>SHC of Glasgow Rehab &amp; Wellness Center</v>
      </c>
      <c r="D352" s="3" t="str">
        <f t="shared" si="122"/>
        <v>A_BEDS_TOTAL - Total Available Beds</v>
      </c>
      <c r="F352" s="24" t="str">
        <f>_xll.EVDES(D352)</f>
        <v>Total Available Beds</v>
      </c>
      <c r="G352" s="19">
        <f ca="1">SUMIFS(OFFSET('BPC Data'!$F:$F,0,Summary!G$2),'BPC Data'!$E:$E,Summary!$D352,'BPC Data'!$B:$B,Summary!$C352)</f>
        <v>68</v>
      </c>
      <c r="H352" s="183">
        <f ca="1">SUMIFS(OFFSET('BPC Data'!$F:$F,0,Summary!H$2),'BPC Data'!$E:$E,Summary!$D352,'BPC Data'!$B:$B,Summary!$C352)</f>
        <v>68</v>
      </c>
      <c r="I352" s="19">
        <f ca="1">SUMIFS(OFFSET('BPC Data'!$F:$F,0,Summary!I$2),'BPC Data'!$E:$E,Summary!$D352,'BPC Data'!$B:$B,Summary!$C352)</f>
        <v>68</v>
      </c>
      <c r="J352" s="183">
        <f ca="1">SUMIFS(OFFSET('BPC Data'!$F:$F,0,Summary!J$2),'BPC Data'!$E:$E,Summary!$D352,'BPC Data'!$B:$B,Summary!$C352)</f>
        <v>68</v>
      </c>
      <c r="K352" s="19">
        <f ca="1">SUMIFS(OFFSET('BPC Data'!$F:$F,0,Summary!K$2),'BPC Data'!$E:$E,Summary!$D352,'BPC Data'!$B:$B,Summary!$C352)</f>
        <v>68</v>
      </c>
      <c r="L352" s="183">
        <f ca="1">SUMIFS(OFFSET('BPC Data'!$F:$F,0,Summary!L$2),'BPC Data'!$E:$E,Summary!$D352,'BPC Data'!$B:$B,Summary!$C352)</f>
        <v>68</v>
      </c>
      <c r="M352" s="19">
        <f ca="1">SUMIFS(OFFSET('BPC Data'!$F:$F,0,Summary!M$2),'BPC Data'!$E:$E,Summary!$D352,'BPC Data'!$B:$B,Summary!$C352)</f>
        <v>68</v>
      </c>
      <c r="N352" s="183">
        <f ca="1">SUMIFS(OFFSET('BPC Data'!$F:$F,0,Summary!N$2),'BPC Data'!$E:$E,Summary!$D352,'BPC Data'!$B:$B,Summary!$C352)</f>
        <v>68</v>
      </c>
      <c r="O352" s="19">
        <f ca="1">SUMIFS(OFFSET('BPC Data'!$F:$F,0,Summary!O$2),'BPC Data'!$E:$E,Summary!$D352,'BPC Data'!$B:$B,Summary!$C352)</f>
        <v>68</v>
      </c>
      <c r="P352" s="183">
        <f ca="1">SUMIFS(OFFSET('BPC Data'!$F:$F,0,Summary!P$2),'BPC Data'!$E:$E,Summary!$D352,'BPC Data'!$B:$B,Summary!$C352)</f>
        <v>68</v>
      </c>
      <c r="Q352" s="19">
        <f ca="1">SUMIFS(OFFSET('BPC Data'!$F:$F,0,Summary!Q$2),'BPC Data'!$E:$E,Summary!$D352,'BPC Data'!$B:$B,Summary!$C352)</f>
        <v>68</v>
      </c>
      <c r="R352" s="183">
        <f ca="1">SUMIFS(OFFSET('BPC Data'!$F:$F,0,Summary!R$2),'BPC Data'!$E:$E,Summary!$D352,'BPC Data'!$B:$B,Summary!$C352)</f>
        <v>68</v>
      </c>
      <c r="S352" s="187">
        <f ca="1">R352</f>
        <v>68</v>
      </c>
      <c r="T352" s="181"/>
    </row>
    <row r="353" spans="1:20" s="17" customFormat="1" outlineLevel="1" x14ac:dyDescent="0.25">
      <c r="A353" s="17">
        <f t="shared" si="125"/>
        <v>32</v>
      </c>
      <c r="B353"/>
      <c r="C353" t="str">
        <f>$F350</f>
        <v>SHC of Glasgow Rehab &amp; Wellness Center</v>
      </c>
      <c r="D353" s="3" t="str">
        <f t="shared" si="122"/>
        <v>T_REVENUES - Total Tenant Revenues</v>
      </c>
      <c r="E353"/>
      <c r="F353" s="24" t="str">
        <f>_xll.EVDES(D353)</f>
        <v>Total Tenant Revenues</v>
      </c>
      <c r="G353" s="19">
        <f ca="1">SUMIFS(OFFSET('BPC Data'!$F:$F,0,Summary!G$2),'BPC Data'!$E:$E,Summary!$D353,'BPC Data'!$B:$B,Summary!$C353)</f>
        <v>479865</v>
      </c>
      <c r="H353" s="183">
        <f ca="1">SUMIFS(OFFSET('BPC Data'!$F:$F,0,Summary!H$2),'BPC Data'!$E:$E,Summary!$D353,'BPC Data'!$B:$B,Summary!$C353)</f>
        <v>533683</v>
      </c>
      <c r="I353" s="19">
        <f ca="1">SUMIFS(OFFSET('BPC Data'!$F:$F,0,Summary!I$2),'BPC Data'!$E:$E,Summary!$D353,'BPC Data'!$B:$B,Summary!$C353)</f>
        <v>661821</v>
      </c>
      <c r="J353" s="183">
        <f ca="1">SUMIFS(OFFSET('BPC Data'!$F:$F,0,Summary!J$2),'BPC Data'!$E:$E,Summary!$D353,'BPC Data'!$B:$B,Summary!$C353)</f>
        <v>517591</v>
      </c>
      <c r="K353" s="19">
        <f ca="1">SUMIFS(OFFSET('BPC Data'!$F:$F,0,Summary!K$2),'BPC Data'!$E:$E,Summary!$D353,'BPC Data'!$B:$B,Summary!$C353)</f>
        <v>487449</v>
      </c>
      <c r="L353" s="183">
        <f ca="1">SUMIFS(OFFSET('BPC Data'!$F:$F,0,Summary!L$2),'BPC Data'!$E:$E,Summary!$D353,'BPC Data'!$B:$B,Summary!$C353)</f>
        <v>376111</v>
      </c>
      <c r="M353" s="19">
        <f ca="1">SUMIFS(OFFSET('BPC Data'!$F:$F,0,Summary!M$2),'BPC Data'!$E:$E,Summary!$D353,'BPC Data'!$B:$B,Summary!$C353)</f>
        <v>523530</v>
      </c>
      <c r="N353" s="183">
        <f ca="1">SUMIFS(OFFSET('BPC Data'!$F:$F,0,Summary!N$2),'BPC Data'!$E:$E,Summary!$D353,'BPC Data'!$B:$B,Summary!$C353)</f>
        <v>440628</v>
      </c>
      <c r="O353" s="19">
        <f ca="1">SUMIFS(OFFSET('BPC Data'!$F:$F,0,Summary!O$2),'BPC Data'!$E:$E,Summary!$D353,'BPC Data'!$B:$B,Summary!$C353)</f>
        <v>477597</v>
      </c>
      <c r="P353" s="183">
        <f ca="1">SUMIFS(OFFSET('BPC Data'!$F:$F,0,Summary!P$2),'BPC Data'!$E:$E,Summary!$D353,'BPC Data'!$B:$B,Summary!$C353)</f>
        <v>519509</v>
      </c>
      <c r="Q353" s="19">
        <f ca="1">SUMIFS(OFFSET('BPC Data'!$F:$F,0,Summary!Q$2),'BPC Data'!$E:$E,Summary!$D353,'BPC Data'!$B:$B,Summary!$C353)</f>
        <v>527001</v>
      </c>
      <c r="R353" s="183">
        <f ca="1">SUMIFS(OFFSET('BPC Data'!$F:$F,0,Summary!R$2),'BPC Data'!$E:$E,Summary!$D353,'BPC Data'!$B:$B,Summary!$C353)</f>
        <v>521112</v>
      </c>
      <c r="S353" s="187">
        <f t="shared" ca="1" si="118"/>
        <v>6065897</v>
      </c>
      <c r="T353" s="181"/>
    </row>
    <row r="354" spans="1:20" s="17" customFormat="1" outlineLevel="1" x14ac:dyDescent="0.25">
      <c r="A354" s="17">
        <f t="shared" si="125"/>
        <v>32</v>
      </c>
      <c r="B354"/>
      <c r="C354" t="str">
        <f>$F350</f>
        <v>SHC of Glasgow Rehab &amp; Wellness Center</v>
      </c>
      <c r="D354" s="3" t="str">
        <f t="shared" si="122"/>
        <v>T_OPEX - Tenant Operating Expenses</v>
      </c>
      <c r="E354"/>
      <c r="F354" s="24" t="str">
        <f>_xll.EVDES(D354)</f>
        <v>Tenant Operating Expenses</v>
      </c>
      <c r="G354" s="19">
        <f ca="1">SUMIFS(OFFSET('BPC Data'!$F:$F,0,Summary!G$2),'BPC Data'!$E:$E,Summary!$D354,'BPC Data'!$B:$B,Summary!$C354)</f>
        <v>426890</v>
      </c>
      <c r="H354" s="183">
        <f ca="1">SUMIFS(OFFSET('BPC Data'!$F:$F,0,Summary!H$2),'BPC Data'!$E:$E,Summary!$D354,'BPC Data'!$B:$B,Summary!$C354)</f>
        <v>426382</v>
      </c>
      <c r="I354" s="19">
        <f ca="1">SUMIFS(OFFSET('BPC Data'!$F:$F,0,Summary!I$2),'BPC Data'!$E:$E,Summary!$D354,'BPC Data'!$B:$B,Summary!$C354)</f>
        <v>481665</v>
      </c>
      <c r="J354" s="183">
        <f ca="1">SUMIFS(OFFSET('BPC Data'!$F:$F,0,Summary!J$2),'BPC Data'!$E:$E,Summary!$D354,'BPC Data'!$B:$B,Summary!$C354)</f>
        <v>617692</v>
      </c>
      <c r="K354" s="19">
        <f ca="1">SUMIFS(OFFSET('BPC Data'!$F:$F,0,Summary!K$2),'BPC Data'!$E:$E,Summary!$D354,'BPC Data'!$B:$B,Summary!$C354)</f>
        <v>419743</v>
      </c>
      <c r="L354" s="183">
        <f ca="1">SUMIFS(OFFSET('BPC Data'!$F:$F,0,Summary!L$2),'BPC Data'!$E:$E,Summary!$D354,'BPC Data'!$B:$B,Summary!$C354)</f>
        <v>356768</v>
      </c>
      <c r="M354" s="19">
        <f ca="1">SUMIFS(OFFSET('BPC Data'!$F:$F,0,Summary!M$2),'BPC Data'!$E:$E,Summary!$D354,'BPC Data'!$B:$B,Summary!$C354)</f>
        <v>387750</v>
      </c>
      <c r="N354" s="183">
        <f ca="1">SUMIFS(OFFSET('BPC Data'!$F:$F,0,Summary!N$2),'BPC Data'!$E:$E,Summary!$D354,'BPC Data'!$B:$B,Summary!$C354)</f>
        <v>354058</v>
      </c>
      <c r="O354" s="19">
        <f ca="1">SUMIFS(OFFSET('BPC Data'!$F:$F,0,Summary!O$2),'BPC Data'!$E:$E,Summary!$D354,'BPC Data'!$B:$B,Summary!$C354)</f>
        <v>370990</v>
      </c>
      <c r="P354" s="183">
        <f ca="1">SUMIFS(OFFSET('BPC Data'!$F:$F,0,Summary!P$2),'BPC Data'!$E:$E,Summary!$D354,'BPC Data'!$B:$B,Summary!$C354)</f>
        <v>381413</v>
      </c>
      <c r="Q354" s="19">
        <f ca="1">SUMIFS(OFFSET('BPC Data'!$F:$F,0,Summary!Q$2),'BPC Data'!$E:$E,Summary!$D354,'BPC Data'!$B:$B,Summary!$C354)</f>
        <v>373742</v>
      </c>
      <c r="R354" s="183">
        <f ca="1">SUMIFS(OFFSET('BPC Data'!$F:$F,0,Summary!R$2),'BPC Data'!$E:$E,Summary!$D354,'BPC Data'!$B:$B,Summary!$C354)</f>
        <v>428163</v>
      </c>
      <c r="S354" s="187">
        <f t="shared" ca="1" si="118"/>
        <v>5025256</v>
      </c>
      <c r="T354" s="181"/>
    </row>
    <row r="355" spans="1:20" s="17" customFormat="1" outlineLevel="1" x14ac:dyDescent="0.25">
      <c r="A355" s="17">
        <f t="shared" si="125"/>
        <v>32</v>
      </c>
      <c r="B355"/>
      <c r="C355" t="str">
        <f>$F350</f>
        <v>SHC of Glasgow Rehab &amp; Wellness Center</v>
      </c>
      <c r="D355" s="3" t="str">
        <f t="shared" si="122"/>
        <v>T_BAD_DEBT - Tenant Bad Debt Expense</v>
      </c>
      <c r="E355"/>
      <c r="F355" s="24" t="str">
        <f>_xll.EVDES(D355)</f>
        <v>Tenant Bad Debt Expense</v>
      </c>
      <c r="G355" s="19">
        <f ca="1">SUMIFS(OFFSET('BPC Data'!$F:$F,0,Summary!G$2),'BPC Data'!$E:$E,Summary!$D355,'BPC Data'!$B:$B,Summary!$C355)</f>
        <v>7500</v>
      </c>
      <c r="H355" s="183">
        <f ca="1">SUMIFS(OFFSET('BPC Data'!$F:$F,0,Summary!H$2),'BPC Data'!$E:$E,Summary!$D355,'BPC Data'!$B:$B,Summary!$C355)</f>
        <v>8487</v>
      </c>
      <c r="I355" s="19">
        <f ca="1">SUMIFS(OFFSET('BPC Data'!$F:$F,0,Summary!I$2),'BPC Data'!$E:$E,Summary!$D355,'BPC Data'!$B:$B,Summary!$C355)</f>
        <v>10000</v>
      </c>
      <c r="J355" s="183">
        <f ca="1">SUMIFS(OFFSET('BPC Data'!$F:$F,0,Summary!J$2),'BPC Data'!$E:$E,Summary!$D355,'BPC Data'!$B:$B,Summary!$C355)</f>
        <v>29193</v>
      </c>
      <c r="K355" s="19">
        <f ca="1">SUMIFS(OFFSET('BPC Data'!$F:$F,0,Summary!K$2),'BPC Data'!$E:$E,Summary!$D355,'BPC Data'!$B:$B,Summary!$C355)</f>
        <v>12500</v>
      </c>
      <c r="L355" s="183">
        <f ca="1">SUMIFS(OFFSET('BPC Data'!$F:$F,0,Summary!L$2),'BPC Data'!$E:$E,Summary!$D355,'BPC Data'!$B:$B,Summary!$C355)</f>
        <v>10000</v>
      </c>
      <c r="M355" s="19">
        <f ca="1">SUMIFS(OFFSET('BPC Data'!$F:$F,0,Summary!M$2),'BPC Data'!$E:$E,Summary!$D355,'BPC Data'!$B:$B,Summary!$C355)</f>
        <v>0</v>
      </c>
      <c r="N355" s="183">
        <f ca="1">SUMIFS(OFFSET('BPC Data'!$F:$F,0,Summary!N$2),'BPC Data'!$E:$E,Summary!$D355,'BPC Data'!$B:$B,Summary!$C355)</f>
        <v>0</v>
      </c>
      <c r="O355" s="19">
        <f ca="1">SUMIFS(OFFSET('BPC Data'!$F:$F,0,Summary!O$2),'BPC Data'!$E:$E,Summary!$D355,'BPC Data'!$B:$B,Summary!$C355)</f>
        <v>0</v>
      </c>
      <c r="P355" s="183">
        <f ca="1">SUMIFS(OFFSET('BPC Data'!$F:$F,0,Summary!P$2),'BPC Data'!$E:$E,Summary!$D355,'BPC Data'!$B:$B,Summary!$C355)</f>
        <v>5000</v>
      </c>
      <c r="Q355" s="19">
        <f ca="1">SUMIFS(OFFSET('BPC Data'!$F:$F,0,Summary!Q$2),'BPC Data'!$E:$E,Summary!$D355,'BPC Data'!$B:$B,Summary!$C355)</f>
        <v>0</v>
      </c>
      <c r="R355" s="183">
        <f ca="1">SUMIFS(OFFSET('BPC Data'!$F:$F,0,Summary!R$2),'BPC Data'!$E:$E,Summary!$D355,'BPC Data'!$B:$B,Summary!$C355)</f>
        <v>0</v>
      </c>
      <c r="S355" s="187">
        <f t="shared" ca="1" si="118"/>
        <v>82680</v>
      </c>
      <c r="T355" s="181"/>
    </row>
    <row r="356" spans="1:20" s="17" customFormat="1" outlineLevel="1" x14ac:dyDescent="0.25">
      <c r="A356" s="17">
        <f t="shared" si="125"/>
        <v>32</v>
      </c>
      <c r="B356"/>
      <c r="C356" t="str">
        <f>$F350</f>
        <v>SHC of Glasgow Rehab &amp; Wellness Center</v>
      </c>
      <c r="D356" s="2" t="str">
        <f t="shared" si="122"/>
        <v>T_EBITDARM - EBITDARM</v>
      </c>
      <c r="E356"/>
      <c r="F356" s="24" t="str">
        <f>_xll.EVDES(D356)</f>
        <v>EBITDARM</v>
      </c>
      <c r="G356" s="19">
        <f ca="1">SUMIFS(OFFSET('BPC Data'!$F:$F,0,Summary!G$2),'BPC Data'!$E:$E,Summary!$D356,'BPC Data'!$B:$B,Summary!$C356)</f>
        <v>52975</v>
      </c>
      <c r="H356" s="183">
        <f ca="1">SUMIFS(OFFSET('BPC Data'!$F:$F,0,Summary!H$2),'BPC Data'!$E:$E,Summary!$D356,'BPC Data'!$B:$B,Summary!$C356)</f>
        <v>107301</v>
      </c>
      <c r="I356" s="19">
        <f ca="1">SUMIFS(OFFSET('BPC Data'!$F:$F,0,Summary!I$2),'BPC Data'!$E:$E,Summary!$D356,'BPC Data'!$B:$B,Summary!$C356)</f>
        <v>180156</v>
      </c>
      <c r="J356" s="183">
        <f ca="1">SUMIFS(OFFSET('BPC Data'!$F:$F,0,Summary!J$2),'BPC Data'!$E:$E,Summary!$D356,'BPC Data'!$B:$B,Summary!$C356)</f>
        <v>-100101</v>
      </c>
      <c r="K356" s="19">
        <f ca="1">SUMIFS(OFFSET('BPC Data'!$F:$F,0,Summary!K$2),'BPC Data'!$E:$E,Summary!$D356,'BPC Data'!$B:$B,Summary!$C356)</f>
        <v>67706</v>
      </c>
      <c r="L356" s="183">
        <f ca="1">SUMIFS(OFFSET('BPC Data'!$F:$F,0,Summary!L$2),'BPC Data'!$E:$E,Summary!$D356,'BPC Data'!$B:$B,Summary!$C356)</f>
        <v>19343</v>
      </c>
      <c r="M356" s="19">
        <f ca="1">SUMIFS(OFFSET('BPC Data'!$F:$F,0,Summary!M$2),'BPC Data'!$E:$E,Summary!$D356,'BPC Data'!$B:$B,Summary!$C356)</f>
        <v>135780</v>
      </c>
      <c r="N356" s="183">
        <f ca="1">SUMIFS(OFFSET('BPC Data'!$F:$F,0,Summary!N$2),'BPC Data'!$E:$E,Summary!$D356,'BPC Data'!$B:$B,Summary!$C356)</f>
        <v>86570</v>
      </c>
      <c r="O356" s="19">
        <f ca="1">SUMIFS(OFFSET('BPC Data'!$F:$F,0,Summary!O$2),'BPC Data'!$E:$E,Summary!$D356,'BPC Data'!$B:$B,Summary!$C356)</f>
        <v>106607</v>
      </c>
      <c r="P356" s="183">
        <f ca="1">SUMIFS(OFFSET('BPC Data'!$F:$F,0,Summary!P$2),'BPC Data'!$E:$E,Summary!$D356,'BPC Data'!$B:$B,Summary!$C356)</f>
        <v>138096</v>
      </c>
      <c r="Q356" s="19">
        <f ca="1">SUMIFS(OFFSET('BPC Data'!$F:$F,0,Summary!Q$2),'BPC Data'!$E:$E,Summary!$D356,'BPC Data'!$B:$B,Summary!$C356)</f>
        <v>153259</v>
      </c>
      <c r="R356" s="183">
        <f ca="1">SUMIFS(OFFSET('BPC Data'!$F:$F,0,Summary!R$2),'BPC Data'!$E:$E,Summary!$D356,'BPC Data'!$B:$B,Summary!$C356)</f>
        <v>92949</v>
      </c>
      <c r="S356" s="187">
        <f t="shared" ca="1" si="118"/>
        <v>1040641</v>
      </c>
      <c r="T356" s="181"/>
    </row>
    <row r="357" spans="1:20" s="17" customFormat="1" outlineLevel="1" x14ac:dyDescent="0.25">
      <c r="A357" s="17">
        <f t="shared" si="125"/>
        <v>32</v>
      </c>
      <c r="B357"/>
      <c r="C357" t="str">
        <f>$F350</f>
        <v>SHC of Glasgow Rehab &amp; Wellness Center</v>
      </c>
      <c r="D357" s="2" t="str">
        <f t="shared" si="122"/>
        <v>T_MGMT_FEE - Tenant Management Fee - Actual</v>
      </c>
      <c r="E357"/>
      <c r="F357" s="24" t="str">
        <f>_xll.EVDES(D357)</f>
        <v>Tenant Management Fee - Actual</v>
      </c>
      <c r="G357" s="19">
        <f ca="1">SUMIFS(OFFSET('BPC Data'!$F:$F,0,Summary!G$2),'BPC Data'!$E:$E,Summary!$D357,'BPC Data'!$B:$B,Summary!$C357)</f>
        <v>24219</v>
      </c>
      <c r="H357" s="183">
        <f ca="1">SUMIFS(OFFSET('BPC Data'!$F:$F,0,Summary!H$2),'BPC Data'!$E:$E,Summary!$D357,'BPC Data'!$B:$B,Summary!$C357)</f>
        <v>26951</v>
      </c>
      <c r="I357" s="19">
        <f ca="1">SUMIFS(OFFSET('BPC Data'!$F:$F,0,Summary!I$2),'BPC Data'!$E:$E,Summary!$D357,'BPC Data'!$B:$B,Summary!$C357)</f>
        <v>33422</v>
      </c>
      <c r="J357" s="183">
        <f ca="1">SUMIFS(OFFSET('BPC Data'!$F:$F,0,Summary!J$2),'BPC Data'!$E:$E,Summary!$D357,'BPC Data'!$B:$B,Summary!$C357)</f>
        <v>21218</v>
      </c>
      <c r="K357" s="19">
        <f ca="1">SUMIFS(OFFSET('BPC Data'!$F:$F,0,Summary!K$2),'BPC Data'!$E:$E,Summary!$D357,'BPC Data'!$B:$B,Summary!$C357)</f>
        <v>24616</v>
      </c>
      <c r="L357" s="183">
        <f ca="1">SUMIFS(OFFSET('BPC Data'!$F:$F,0,Summary!L$2),'BPC Data'!$E:$E,Summary!$D357,'BPC Data'!$B:$B,Summary!$C357)</f>
        <v>18994</v>
      </c>
      <c r="M357" s="19">
        <f ca="1">SUMIFS(OFFSET('BPC Data'!$F:$F,0,Summary!M$2),'BPC Data'!$E:$E,Summary!$D357,'BPC Data'!$B:$B,Summary!$C357)</f>
        <v>26438</v>
      </c>
      <c r="N357" s="183">
        <f ca="1">SUMIFS(OFFSET('BPC Data'!$F:$F,0,Summary!N$2),'BPC Data'!$E:$E,Summary!$D357,'BPC Data'!$B:$B,Summary!$C357)</f>
        <v>22252</v>
      </c>
      <c r="O357" s="19">
        <f ca="1">SUMIFS(OFFSET('BPC Data'!$F:$F,0,Summary!O$2),'BPC Data'!$E:$E,Summary!$D357,'BPC Data'!$B:$B,Summary!$C357)</f>
        <v>24119</v>
      </c>
      <c r="P357" s="183">
        <f ca="1">SUMIFS(OFFSET('BPC Data'!$F:$F,0,Summary!P$2),'BPC Data'!$E:$E,Summary!$D357,'BPC Data'!$B:$B,Summary!$C357)</f>
        <v>26235</v>
      </c>
      <c r="Q357" s="19">
        <f ca="1">SUMIFS(OFFSET('BPC Data'!$F:$F,0,Summary!Q$2),'BPC Data'!$E:$E,Summary!$D357,'BPC Data'!$B:$B,Summary!$C357)</f>
        <v>26614</v>
      </c>
      <c r="R357" s="183">
        <f ca="1">SUMIFS(OFFSET('BPC Data'!$F:$F,0,Summary!R$2),'BPC Data'!$E:$E,Summary!$D357,'BPC Data'!$B:$B,Summary!$C357)</f>
        <v>26316</v>
      </c>
      <c r="S357" s="187">
        <f t="shared" ca="1" si="118"/>
        <v>301394</v>
      </c>
      <c r="T357" s="181"/>
    </row>
    <row r="358" spans="1:20" s="17" customFormat="1" outlineLevel="1" x14ac:dyDescent="0.25">
      <c r="A358" s="17">
        <f t="shared" si="125"/>
        <v>32</v>
      </c>
      <c r="B358"/>
      <c r="C358" t="str">
        <f>$F350</f>
        <v>SHC of Glasgow Rehab &amp; Wellness Center</v>
      </c>
      <c r="D358" s="1" t="str">
        <f t="shared" si="122"/>
        <v>T_EBITDAR - EBITDAR</v>
      </c>
      <c r="E358"/>
      <c r="F358" s="24" t="str">
        <f>_xll.EVDES(D358)</f>
        <v>EBITDAR</v>
      </c>
      <c r="G358" s="19">
        <f ca="1">SUMIFS(OFFSET('BPC Data'!$F:$F,0,Summary!G$2),'BPC Data'!$E:$E,Summary!$D358,'BPC Data'!$B:$B,Summary!$C358)</f>
        <v>28756</v>
      </c>
      <c r="H358" s="183">
        <f ca="1">SUMIFS(OFFSET('BPC Data'!$F:$F,0,Summary!H$2),'BPC Data'!$E:$E,Summary!$D358,'BPC Data'!$B:$B,Summary!$C358)</f>
        <v>80350</v>
      </c>
      <c r="I358" s="19">
        <f ca="1">SUMIFS(OFFSET('BPC Data'!$F:$F,0,Summary!I$2),'BPC Data'!$E:$E,Summary!$D358,'BPC Data'!$B:$B,Summary!$C358)</f>
        <v>146734</v>
      </c>
      <c r="J358" s="183">
        <f ca="1">SUMIFS(OFFSET('BPC Data'!$F:$F,0,Summary!J$2),'BPC Data'!$E:$E,Summary!$D358,'BPC Data'!$B:$B,Summary!$C358)</f>
        <v>-121319</v>
      </c>
      <c r="K358" s="19">
        <f ca="1">SUMIFS(OFFSET('BPC Data'!$F:$F,0,Summary!K$2),'BPC Data'!$E:$E,Summary!$D358,'BPC Data'!$B:$B,Summary!$C358)</f>
        <v>43090</v>
      </c>
      <c r="L358" s="183">
        <f ca="1">SUMIFS(OFFSET('BPC Data'!$F:$F,0,Summary!L$2),'BPC Data'!$E:$E,Summary!$D358,'BPC Data'!$B:$B,Summary!$C358)</f>
        <v>349</v>
      </c>
      <c r="M358" s="19">
        <f ca="1">SUMIFS(OFFSET('BPC Data'!$F:$F,0,Summary!M$2),'BPC Data'!$E:$E,Summary!$D358,'BPC Data'!$B:$B,Summary!$C358)</f>
        <v>109342</v>
      </c>
      <c r="N358" s="183">
        <f ca="1">SUMIFS(OFFSET('BPC Data'!$F:$F,0,Summary!N$2),'BPC Data'!$E:$E,Summary!$D358,'BPC Data'!$B:$B,Summary!$C358)</f>
        <v>64318</v>
      </c>
      <c r="O358" s="19">
        <f ca="1">SUMIFS(OFFSET('BPC Data'!$F:$F,0,Summary!O$2),'BPC Data'!$E:$E,Summary!$D358,'BPC Data'!$B:$B,Summary!$C358)</f>
        <v>82488</v>
      </c>
      <c r="P358" s="183">
        <f ca="1">SUMIFS(OFFSET('BPC Data'!$F:$F,0,Summary!P$2),'BPC Data'!$E:$E,Summary!$D358,'BPC Data'!$B:$B,Summary!$C358)</f>
        <v>111861</v>
      </c>
      <c r="Q358" s="19">
        <f ca="1">SUMIFS(OFFSET('BPC Data'!$F:$F,0,Summary!Q$2),'BPC Data'!$E:$E,Summary!$D358,'BPC Data'!$B:$B,Summary!$C358)</f>
        <v>126645</v>
      </c>
      <c r="R358" s="183">
        <f ca="1">SUMIFS(OFFSET('BPC Data'!$F:$F,0,Summary!R$2),'BPC Data'!$E:$E,Summary!$D358,'BPC Data'!$B:$B,Summary!$C358)</f>
        <v>66633</v>
      </c>
      <c r="S358" s="187">
        <f t="shared" ca="1" si="118"/>
        <v>739247</v>
      </c>
      <c r="T358" s="181"/>
    </row>
    <row r="359" spans="1:20" s="17" customFormat="1" outlineLevel="1" x14ac:dyDescent="0.25">
      <c r="A359" s="17">
        <f t="shared" si="125"/>
        <v>32</v>
      </c>
      <c r="B359"/>
      <c r="C359" t="str">
        <f>$F350</f>
        <v>SHC of Glasgow Rehab &amp; Wellness Center</v>
      </c>
      <c r="D359" s="1" t="str">
        <f t="shared" si="122"/>
        <v>T_RENT_EXP - Tenant Rent Expense</v>
      </c>
      <c r="E359"/>
      <c r="F359" s="24" t="str">
        <f>_xll.EVDES(D359)</f>
        <v>Tenant Rent Expense</v>
      </c>
      <c r="G359" s="19">
        <f ca="1">SUMIFS(OFFSET('BPC Data'!$F:$F,0,Summary!G$2),'BPC Data'!$E:$E,Summary!$D359,'BPC Data'!$B:$B,Summary!$C359)</f>
        <v>5253</v>
      </c>
      <c r="H359" s="183">
        <f ca="1">SUMIFS(OFFSET('BPC Data'!$F:$F,0,Summary!H$2),'BPC Data'!$E:$E,Summary!$D359,'BPC Data'!$B:$B,Summary!$C359)</f>
        <v>5253</v>
      </c>
      <c r="I359" s="19">
        <f ca="1">SUMIFS(OFFSET('BPC Data'!$F:$F,0,Summary!I$2),'BPC Data'!$E:$E,Summary!$D359,'BPC Data'!$B:$B,Summary!$C359)</f>
        <v>5253</v>
      </c>
      <c r="J359" s="183">
        <f ca="1">SUMIFS(OFFSET('BPC Data'!$F:$F,0,Summary!J$2),'BPC Data'!$E:$E,Summary!$D359,'BPC Data'!$B:$B,Summary!$C359)</f>
        <v>5384</v>
      </c>
      <c r="K359" s="19">
        <f ca="1">SUMIFS(OFFSET('BPC Data'!$F:$F,0,Summary!K$2),'BPC Data'!$E:$E,Summary!$D359,'BPC Data'!$B:$B,Summary!$C359)</f>
        <v>5384</v>
      </c>
      <c r="L359" s="183">
        <f ca="1">SUMIFS(OFFSET('BPC Data'!$F:$F,0,Summary!L$2),'BPC Data'!$E:$E,Summary!$D359,'BPC Data'!$B:$B,Summary!$C359)</f>
        <v>5384</v>
      </c>
      <c r="M359" s="19">
        <f ca="1">SUMIFS(OFFSET('BPC Data'!$F:$F,0,Summary!M$2),'BPC Data'!$E:$E,Summary!$D359,'BPC Data'!$B:$B,Summary!$C359)</f>
        <v>5384</v>
      </c>
      <c r="N359" s="183">
        <f ca="1">SUMIFS(OFFSET('BPC Data'!$F:$F,0,Summary!N$2),'BPC Data'!$E:$E,Summary!$D359,'BPC Data'!$B:$B,Summary!$C359)</f>
        <v>5384</v>
      </c>
      <c r="O359" s="19">
        <f ca="1">SUMIFS(OFFSET('BPC Data'!$F:$F,0,Summary!O$2),'BPC Data'!$E:$E,Summary!$D359,'BPC Data'!$B:$B,Summary!$C359)</f>
        <v>5384</v>
      </c>
      <c r="P359" s="183">
        <f ca="1">SUMIFS(OFFSET('BPC Data'!$F:$F,0,Summary!P$2),'BPC Data'!$E:$E,Summary!$D359,'BPC Data'!$B:$B,Summary!$C359)</f>
        <v>5384</v>
      </c>
      <c r="Q359" s="19">
        <f ca="1">SUMIFS(OFFSET('BPC Data'!$F:$F,0,Summary!Q$2),'BPC Data'!$E:$E,Summary!$D359,'BPC Data'!$B:$B,Summary!$C359)</f>
        <v>5384</v>
      </c>
      <c r="R359" s="183">
        <f ca="1">SUMIFS(OFFSET('BPC Data'!$F:$F,0,Summary!R$2),'BPC Data'!$E:$E,Summary!$D359,'BPC Data'!$B:$B,Summary!$C359)</f>
        <v>5384</v>
      </c>
      <c r="S359" s="187">
        <f t="shared" ca="1" si="118"/>
        <v>64215</v>
      </c>
      <c r="T359" s="181"/>
    </row>
    <row r="360" spans="1:20" s="17" customFormat="1" outlineLevel="1" x14ac:dyDescent="0.25">
      <c r="A360" s="17">
        <f t="shared" si="125"/>
        <v>32</v>
      </c>
      <c r="B360"/>
      <c r="C360"/>
      <c r="D360" s="1" t="str">
        <f t="shared" si="122"/>
        <v>x</v>
      </c>
      <c r="E360"/>
      <c r="F360" s="24" t="s">
        <v>0</v>
      </c>
      <c r="G360" s="12">
        <f ca="1">G358/G359</f>
        <v>5.4742052160670092</v>
      </c>
      <c r="H360" s="184">
        <f t="shared" ref="H360:I360" ca="1" si="126">H358/H359</f>
        <v>15.296021321149819</v>
      </c>
      <c r="I360" s="12">
        <f t="shared" ca="1" si="126"/>
        <v>27.933371406815152</v>
      </c>
      <c r="J360" s="184">
        <f t="shared" ref="J360:R360" ca="1" si="127">J358/J359</f>
        <v>-22.533246656760774</v>
      </c>
      <c r="K360" s="12">
        <f t="shared" ca="1" si="127"/>
        <v>8.0033432392273411</v>
      </c>
      <c r="L360" s="184">
        <f t="shared" ca="1" si="127"/>
        <v>6.4821693907875191E-2</v>
      </c>
      <c r="M360" s="12">
        <f t="shared" ca="1" si="127"/>
        <v>20.308692421991086</v>
      </c>
      <c r="N360" s="184">
        <f t="shared" ca="1" si="127"/>
        <v>11.946136701337295</v>
      </c>
      <c r="O360" s="12">
        <f t="shared" ca="1" si="127"/>
        <v>15.320950965824666</v>
      </c>
      <c r="P360" s="184">
        <f t="shared" ca="1" si="127"/>
        <v>20.776560178306092</v>
      </c>
      <c r="Q360" s="12">
        <f t="shared" ca="1" si="127"/>
        <v>23.522473997028232</v>
      </c>
      <c r="R360" s="184">
        <f t="shared" ca="1" si="127"/>
        <v>12.376114413075781</v>
      </c>
      <c r="S360" s="187">
        <f t="shared" ca="1" si="118"/>
        <v>138.48944489796955</v>
      </c>
      <c r="T360" s="181"/>
    </row>
    <row r="361" spans="1:20" s="17" customFormat="1" outlineLevel="1" x14ac:dyDescent="0.25">
      <c r="A361" s="17">
        <f>IF(AND(D361&lt;&gt;"",C361=""),A360+1,A360)</f>
        <v>33</v>
      </c>
      <c r="B361" s="5"/>
      <c r="C361" s="5"/>
      <c r="D361" s="5" t="str">
        <f t="shared" si="122"/>
        <v>x</v>
      </c>
      <c r="E361" s="5"/>
      <c r="F361" s="23" t="str">
        <f>INDEX(PropertyList!$D:$D,MATCH(Summary!$A361,PropertyList!$C:$C,0))</f>
        <v>SHC of Carrollton Rehab &amp; Wellness Center</v>
      </c>
      <c r="G361" s="11"/>
      <c r="H361" s="182"/>
      <c r="I361" s="11"/>
      <c r="J361" s="182"/>
      <c r="K361" s="11"/>
      <c r="L361" s="182"/>
      <c r="M361" s="11"/>
      <c r="N361" s="182"/>
      <c r="O361" s="11"/>
      <c r="P361" s="182"/>
      <c r="Q361" s="11"/>
      <c r="R361" s="182"/>
      <c r="S361" s="187">
        <f t="shared" si="118"/>
        <v>0</v>
      </c>
      <c r="T361" s="181"/>
    </row>
    <row r="362" spans="1:20" s="17" customFormat="1" outlineLevel="1" x14ac:dyDescent="0.25">
      <c r="A362" s="17">
        <f>IF(AND(F362&lt;&gt;"",D362=""),A361+1,A361)</f>
        <v>33</v>
      </c>
      <c r="C362" t="str">
        <f>$F361</f>
        <v>SHC of Carrollton Rehab &amp; Wellness Center</v>
      </c>
      <c r="D362" s="3" t="str">
        <f t="shared" si="122"/>
        <v>PAY_PAT_DAYS - Total Payor Patient Days</v>
      </c>
      <c r="F362" s="24" t="str">
        <f>_xll.EVDES(D362)</f>
        <v>Total Payor Patient Days</v>
      </c>
      <c r="G362" s="19">
        <f ca="1">SUMIFS(OFFSET('BPC Data'!$F:$F,0,Summary!G$2),'BPC Data'!$E:$E,Summary!$D362,'BPC Data'!$B:$B,Summary!$C362)</f>
        <v>1685</v>
      </c>
      <c r="H362" s="183">
        <f ca="1">SUMIFS(OFFSET('BPC Data'!$F:$F,0,Summary!H$2),'BPC Data'!$E:$E,Summary!$D362,'BPC Data'!$B:$B,Summary!$C362)</f>
        <v>1852</v>
      </c>
      <c r="I362" s="19">
        <f ca="1">SUMIFS(OFFSET('BPC Data'!$F:$F,0,Summary!I$2),'BPC Data'!$E:$E,Summary!$D362,'BPC Data'!$B:$B,Summary!$C362)</f>
        <v>1801</v>
      </c>
      <c r="J362" s="183">
        <f ca="1">SUMIFS(OFFSET('BPC Data'!$F:$F,0,Summary!J$2),'BPC Data'!$E:$E,Summary!$D362,'BPC Data'!$B:$B,Summary!$C362)</f>
        <v>1962</v>
      </c>
      <c r="K362" s="19">
        <f ca="1">SUMIFS(OFFSET('BPC Data'!$F:$F,0,Summary!K$2),'BPC Data'!$E:$E,Summary!$D362,'BPC Data'!$B:$B,Summary!$C362)</f>
        <v>1979</v>
      </c>
      <c r="L362" s="183">
        <f ca="1">SUMIFS(OFFSET('BPC Data'!$F:$F,0,Summary!L$2),'BPC Data'!$E:$E,Summary!$D362,'BPC Data'!$B:$B,Summary!$C362)</f>
        <v>1803</v>
      </c>
      <c r="M362" s="19">
        <f ca="1">SUMIFS(OFFSET('BPC Data'!$F:$F,0,Summary!M$2),'BPC Data'!$E:$E,Summary!$D362,'BPC Data'!$B:$B,Summary!$C362)</f>
        <v>1978</v>
      </c>
      <c r="N362" s="183">
        <f ca="1">SUMIFS(OFFSET('BPC Data'!$F:$F,0,Summary!N$2),'BPC Data'!$E:$E,Summary!$D362,'BPC Data'!$B:$B,Summary!$C362)</f>
        <v>2078</v>
      </c>
      <c r="O362" s="19">
        <f ca="1">SUMIFS(OFFSET('BPC Data'!$F:$F,0,Summary!O$2),'BPC Data'!$E:$E,Summary!$D362,'BPC Data'!$B:$B,Summary!$C362)</f>
        <v>2172</v>
      </c>
      <c r="P362" s="183">
        <f ca="1">SUMIFS(OFFSET('BPC Data'!$F:$F,0,Summary!P$2),'BPC Data'!$E:$E,Summary!$D362,'BPC Data'!$B:$B,Summary!$C362)</f>
        <v>2008</v>
      </c>
      <c r="Q362" s="19">
        <f ca="1">SUMIFS(OFFSET('BPC Data'!$F:$F,0,Summary!Q$2),'BPC Data'!$E:$E,Summary!$D362,'BPC Data'!$B:$B,Summary!$C362)</f>
        <v>2191</v>
      </c>
      <c r="R362" s="183">
        <f ca="1">SUMIFS(OFFSET('BPC Data'!$F:$F,0,Summary!R$2),'BPC Data'!$E:$E,Summary!$D362,'BPC Data'!$B:$B,Summary!$C362)</f>
        <v>2121</v>
      </c>
      <c r="S362" s="187">
        <f t="shared" ca="1" si="118"/>
        <v>23630</v>
      </c>
      <c r="T362" s="181"/>
    </row>
    <row r="363" spans="1:20" s="17" customFormat="1" outlineLevel="1" x14ac:dyDescent="0.25">
      <c r="A363" s="17">
        <f t="shared" ref="A363:A371" si="128">IF(AND(F363&lt;&gt;"",D363=""),A362+1,A362)</f>
        <v>33</v>
      </c>
      <c r="C363" t="str">
        <f>$F361</f>
        <v>SHC of Carrollton Rehab &amp; Wellness Center</v>
      </c>
      <c r="D363" s="3" t="str">
        <f t="shared" si="122"/>
        <v>A_BEDS_TOTAL - Total Available Beds</v>
      </c>
      <c r="F363" s="24" t="str">
        <f>_xll.EVDES(D363)</f>
        <v>Total Available Beds</v>
      </c>
      <c r="G363" s="19">
        <f ca="1">SUMIFS(OFFSET('BPC Data'!$F:$F,0,Summary!G$2),'BPC Data'!$E:$E,Summary!$D363,'BPC Data'!$B:$B,Summary!$C363)</f>
        <v>78</v>
      </c>
      <c r="H363" s="183">
        <f ca="1">SUMIFS(OFFSET('BPC Data'!$F:$F,0,Summary!H$2),'BPC Data'!$E:$E,Summary!$D363,'BPC Data'!$B:$B,Summary!$C363)</f>
        <v>78</v>
      </c>
      <c r="I363" s="19">
        <f ca="1">SUMIFS(OFFSET('BPC Data'!$F:$F,0,Summary!I$2),'BPC Data'!$E:$E,Summary!$D363,'BPC Data'!$B:$B,Summary!$C363)</f>
        <v>78</v>
      </c>
      <c r="J363" s="183">
        <f ca="1">SUMIFS(OFFSET('BPC Data'!$F:$F,0,Summary!J$2),'BPC Data'!$E:$E,Summary!$D363,'BPC Data'!$B:$B,Summary!$C363)</f>
        <v>78</v>
      </c>
      <c r="K363" s="19">
        <f ca="1">SUMIFS(OFFSET('BPC Data'!$F:$F,0,Summary!K$2),'BPC Data'!$E:$E,Summary!$D363,'BPC Data'!$B:$B,Summary!$C363)</f>
        <v>78</v>
      </c>
      <c r="L363" s="183">
        <f ca="1">SUMIFS(OFFSET('BPC Data'!$F:$F,0,Summary!L$2),'BPC Data'!$E:$E,Summary!$D363,'BPC Data'!$B:$B,Summary!$C363)</f>
        <v>78</v>
      </c>
      <c r="M363" s="19">
        <f ca="1">SUMIFS(OFFSET('BPC Data'!$F:$F,0,Summary!M$2),'BPC Data'!$E:$E,Summary!$D363,'BPC Data'!$B:$B,Summary!$C363)</f>
        <v>78</v>
      </c>
      <c r="N363" s="183">
        <f ca="1">SUMIFS(OFFSET('BPC Data'!$F:$F,0,Summary!N$2),'BPC Data'!$E:$E,Summary!$D363,'BPC Data'!$B:$B,Summary!$C363)</f>
        <v>78</v>
      </c>
      <c r="O363" s="19">
        <f ca="1">SUMIFS(OFFSET('BPC Data'!$F:$F,0,Summary!O$2),'BPC Data'!$E:$E,Summary!$D363,'BPC Data'!$B:$B,Summary!$C363)</f>
        <v>78</v>
      </c>
      <c r="P363" s="183">
        <f ca="1">SUMIFS(OFFSET('BPC Data'!$F:$F,0,Summary!P$2),'BPC Data'!$E:$E,Summary!$D363,'BPC Data'!$B:$B,Summary!$C363)</f>
        <v>78</v>
      </c>
      <c r="Q363" s="19">
        <f ca="1">SUMIFS(OFFSET('BPC Data'!$F:$F,0,Summary!Q$2),'BPC Data'!$E:$E,Summary!$D363,'BPC Data'!$B:$B,Summary!$C363)</f>
        <v>78</v>
      </c>
      <c r="R363" s="183">
        <f ca="1">SUMIFS(OFFSET('BPC Data'!$F:$F,0,Summary!R$2),'BPC Data'!$E:$E,Summary!$D363,'BPC Data'!$B:$B,Summary!$C363)</f>
        <v>78</v>
      </c>
      <c r="S363" s="187">
        <f ca="1">R363</f>
        <v>78</v>
      </c>
      <c r="T363" s="181"/>
    </row>
    <row r="364" spans="1:20" s="17" customFormat="1" outlineLevel="1" x14ac:dyDescent="0.25">
      <c r="A364" s="17">
        <f t="shared" si="128"/>
        <v>33</v>
      </c>
      <c r="B364"/>
      <c r="C364" t="str">
        <f>$F361</f>
        <v>SHC of Carrollton Rehab &amp; Wellness Center</v>
      </c>
      <c r="D364" s="3" t="str">
        <f t="shared" si="122"/>
        <v>T_REVENUES - Total Tenant Revenues</v>
      </c>
      <c r="E364"/>
      <c r="F364" s="24" t="str">
        <f>_xll.EVDES(D364)</f>
        <v>Total Tenant Revenues</v>
      </c>
      <c r="G364" s="19">
        <f ca="1">SUMIFS(OFFSET('BPC Data'!$F:$F,0,Summary!G$2),'BPC Data'!$E:$E,Summary!$D364,'BPC Data'!$B:$B,Summary!$C364)</f>
        <v>466326</v>
      </c>
      <c r="H364" s="183">
        <f ca="1">SUMIFS(OFFSET('BPC Data'!$F:$F,0,Summary!H$2),'BPC Data'!$E:$E,Summary!$D364,'BPC Data'!$B:$B,Summary!$C364)</f>
        <v>486169</v>
      </c>
      <c r="I364" s="19">
        <f ca="1">SUMIFS(OFFSET('BPC Data'!$F:$F,0,Summary!I$2),'BPC Data'!$E:$E,Summary!$D364,'BPC Data'!$B:$B,Summary!$C364)</f>
        <v>478958</v>
      </c>
      <c r="J364" s="183">
        <f ca="1">SUMIFS(OFFSET('BPC Data'!$F:$F,0,Summary!J$2),'BPC Data'!$E:$E,Summary!$D364,'BPC Data'!$B:$B,Summary!$C364)</f>
        <v>774707</v>
      </c>
      <c r="K364" s="19">
        <f ca="1">SUMIFS(OFFSET('BPC Data'!$F:$F,0,Summary!K$2),'BPC Data'!$E:$E,Summary!$D364,'BPC Data'!$B:$B,Summary!$C364)</f>
        <v>541987</v>
      </c>
      <c r="L364" s="183">
        <f ca="1">SUMIFS(OFFSET('BPC Data'!$F:$F,0,Summary!L$2),'BPC Data'!$E:$E,Summary!$D364,'BPC Data'!$B:$B,Summary!$C364)</f>
        <v>450099</v>
      </c>
      <c r="M364" s="19">
        <f ca="1">SUMIFS(OFFSET('BPC Data'!$F:$F,0,Summary!M$2),'BPC Data'!$E:$E,Summary!$D364,'BPC Data'!$B:$B,Summary!$C364)</f>
        <v>572593</v>
      </c>
      <c r="N364" s="183">
        <f ca="1">SUMIFS(OFFSET('BPC Data'!$F:$F,0,Summary!N$2),'BPC Data'!$E:$E,Summary!$D364,'BPC Data'!$B:$B,Summary!$C364)</f>
        <v>546977</v>
      </c>
      <c r="O364" s="19">
        <f ca="1">SUMIFS(OFFSET('BPC Data'!$F:$F,0,Summary!O$2),'BPC Data'!$E:$E,Summary!$D364,'BPC Data'!$B:$B,Summary!$C364)</f>
        <v>587397</v>
      </c>
      <c r="P364" s="183">
        <f ca="1">SUMIFS(OFFSET('BPC Data'!$F:$F,0,Summary!P$2),'BPC Data'!$E:$E,Summary!$D364,'BPC Data'!$B:$B,Summary!$C364)</f>
        <v>517743</v>
      </c>
      <c r="Q364" s="19">
        <f ca="1">SUMIFS(OFFSET('BPC Data'!$F:$F,0,Summary!Q$2),'BPC Data'!$E:$E,Summary!$D364,'BPC Data'!$B:$B,Summary!$C364)</f>
        <v>538388</v>
      </c>
      <c r="R364" s="183">
        <f ca="1">SUMIFS(OFFSET('BPC Data'!$F:$F,0,Summary!R$2),'BPC Data'!$E:$E,Summary!$D364,'BPC Data'!$B:$B,Summary!$C364)</f>
        <v>523560</v>
      </c>
      <c r="S364" s="187">
        <f t="shared" ca="1" si="118"/>
        <v>6484904</v>
      </c>
      <c r="T364" s="181"/>
    </row>
    <row r="365" spans="1:20" s="17" customFormat="1" outlineLevel="1" x14ac:dyDescent="0.25">
      <c r="A365" s="17">
        <f t="shared" si="128"/>
        <v>33</v>
      </c>
      <c r="B365"/>
      <c r="C365" t="str">
        <f>$F361</f>
        <v>SHC of Carrollton Rehab &amp; Wellness Center</v>
      </c>
      <c r="D365" s="3" t="str">
        <f t="shared" si="122"/>
        <v>T_OPEX - Tenant Operating Expenses</v>
      </c>
      <c r="E365"/>
      <c r="F365" s="24" t="str">
        <f>_xll.EVDES(D365)</f>
        <v>Tenant Operating Expenses</v>
      </c>
      <c r="G365" s="19">
        <f ca="1">SUMIFS(OFFSET('BPC Data'!$F:$F,0,Summary!G$2),'BPC Data'!$E:$E,Summary!$D365,'BPC Data'!$B:$B,Summary!$C365)</f>
        <v>465413</v>
      </c>
      <c r="H365" s="183">
        <f ca="1">SUMIFS(OFFSET('BPC Data'!$F:$F,0,Summary!H$2),'BPC Data'!$E:$E,Summary!$D365,'BPC Data'!$B:$B,Summary!$C365)</f>
        <v>436531</v>
      </c>
      <c r="I365" s="19">
        <f ca="1">SUMIFS(OFFSET('BPC Data'!$F:$F,0,Summary!I$2),'BPC Data'!$E:$E,Summary!$D365,'BPC Data'!$B:$B,Summary!$C365)</f>
        <v>446220</v>
      </c>
      <c r="J365" s="183">
        <f ca="1">SUMIFS(OFFSET('BPC Data'!$F:$F,0,Summary!J$2),'BPC Data'!$E:$E,Summary!$D365,'BPC Data'!$B:$B,Summary!$C365)</f>
        <v>665620</v>
      </c>
      <c r="K365" s="19">
        <f ca="1">SUMIFS(OFFSET('BPC Data'!$F:$F,0,Summary!K$2),'BPC Data'!$E:$E,Summary!$D365,'BPC Data'!$B:$B,Summary!$C365)</f>
        <v>526299</v>
      </c>
      <c r="L365" s="183">
        <f ca="1">SUMIFS(OFFSET('BPC Data'!$F:$F,0,Summary!L$2),'BPC Data'!$E:$E,Summary!$D365,'BPC Data'!$B:$B,Summary!$C365)</f>
        <v>455133</v>
      </c>
      <c r="M365" s="19">
        <f ca="1">SUMIFS(OFFSET('BPC Data'!$F:$F,0,Summary!M$2),'BPC Data'!$E:$E,Summary!$D365,'BPC Data'!$B:$B,Summary!$C365)</f>
        <v>484073</v>
      </c>
      <c r="N365" s="183">
        <f ca="1">SUMIFS(OFFSET('BPC Data'!$F:$F,0,Summary!N$2),'BPC Data'!$E:$E,Summary!$D365,'BPC Data'!$B:$B,Summary!$C365)</f>
        <v>538111</v>
      </c>
      <c r="O365" s="19">
        <f ca="1">SUMIFS(OFFSET('BPC Data'!$F:$F,0,Summary!O$2),'BPC Data'!$E:$E,Summary!$D365,'BPC Data'!$B:$B,Summary!$C365)</f>
        <v>557468</v>
      </c>
      <c r="P365" s="183">
        <f ca="1">SUMIFS(OFFSET('BPC Data'!$F:$F,0,Summary!P$2),'BPC Data'!$E:$E,Summary!$D365,'BPC Data'!$B:$B,Summary!$C365)</f>
        <v>550110</v>
      </c>
      <c r="Q365" s="19">
        <f ca="1">SUMIFS(OFFSET('BPC Data'!$F:$F,0,Summary!Q$2),'BPC Data'!$E:$E,Summary!$D365,'BPC Data'!$B:$B,Summary!$C365)</f>
        <v>517440</v>
      </c>
      <c r="R365" s="183">
        <f ca="1">SUMIFS(OFFSET('BPC Data'!$F:$F,0,Summary!R$2),'BPC Data'!$E:$E,Summary!$D365,'BPC Data'!$B:$B,Summary!$C365)</f>
        <v>514330</v>
      </c>
      <c r="S365" s="187">
        <f t="shared" ca="1" si="118"/>
        <v>6156748</v>
      </c>
      <c r="T365" s="181"/>
    </row>
    <row r="366" spans="1:20" s="17" customFormat="1" outlineLevel="1" x14ac:dyDescent="0.25">
      <c r="A366" s="17">
        <f t="shared" si="128"/>
        <v>33</v>
      </c>
      <c r="B366"/>
      <c r="C366" t="str">
        <f>$F361</f>
        <v>SHC of Carrollton Rehab &amp; Wellness Center</v>
      </c>
      <c r="D366" s="3" t="str">
        <f t="shared" si="122"/>
        <v>T_BAD_DEBT - Tenant Bad Debt Expense</v>
      </c>
      <c r="E366"/>
      <c r="F366" s="24" t="str">
        <f>_xll.EVDES(D366)</f>
        <v>Tenant Bad Debt Expense</v>
      </c>
      <c r="G366" s="19">
        <f ca="1">SUMIFS(OFFSET('BPC Data'!$F:$F,0,Summary!G$2),'BPC Data'!$E:$E,Summary!$D366,'BPC Data'!$B:$B,Summary!$C366)</f>
        <v>12500</v>
      </c>
      <c r="H366" s="183">
        <f ca="1">SUMIFS(OFFSET('BPC Data'!$F:$F,0,Summary!H$2),'BPC Data'!$E:$E,Summary!$D366,'BPC Data'!$B:$B,Summary!$C366)</f>
        <v>6250</v>
      </c>
      <c r="I366" s="19">
        <f ca="1">SUMIFS(OFFSET('BPC Data'!$F:$F,0,Summary!I$2),'BPC Data'!$E:$E,Summary!$D366,'BPC Data'!$B:$B,Summary!$C366)</f>
        <v>-5000</v>
      </c>
      <c r="J366" s="183">
        <f ca="1">SUMIFS(OFFSET('BPC Data'!$F:$F,0,Summary!J$2),'BPC Data'!$E:$E,Summary!$D366,'BPC Data'!$B:$B,Summary!$C366)</f>
        <v>6835</v>
      </c>
      <c r="K366" s="19">
        <f ca="1">SUMIFS(OFFSET('BPC Data'!$F:$F,0,Summary!K$2),'BPC Data'!$E:$E,Summary!$D366,'BPC Data'!$B:$B,Summary!$C366)</f>
        <v>9000</v>
      </c>
      <c r="L366" s="183">
        <f ca="1">SUMIFS(OFFSET('BPC Data'!$F:$F,0,Summary!L$2),'BPC Data'!$E:$E,Summary!$D366,'BPC Data'!$B:$B,Summary!$C366)</f>
        <v>10000</v>
      </c>
      <c r="M366" s="19">
        <f ca="1">SUMIFS(OFFSET('BPC Data'!$F:$F,0,Summary!M$2),'BPC Data'!$E:$E,Summary!$D366,'BPC Data'!$B:$B,Summary!$C366)</f>
        <v>0</v>
      </c>
      <c r="N366" s="183">
        <f ca="1">SUMIFS(OFFSET('BPC Data'!$F:$F,0,Summary!N$2),'BPC Data'!$E:$E,Summary!$D366,'BPC Data'!$B:$B,Summary!$C366)</f>
        <v>0</v>
      </c>
      <c r="O366" s="19">
        <f ca="1">SUMIFS(OFFSET('BPC Data'!$F:$F,0,Summary!O$2),'BPC Data'!$E:$E,Summary!$D366,'BPC Data'!$B:$B,Summary!$C366)</f>
        <v>0</v>
      </c>
      <c r="P366" s="183">
        <f ca="1">SUMIFS(OFFSET('BPC Data'!$F:$F,0,Summary!P$2),'BPC Data'!$E:$E,Summary!$D366,'BPC Data'!$B:$B,Summary!$C366)</f>
        <v>0</v>
      </c>
      <c r="Q366" s="19">
        <f ca="1">SUMIFS(OFFSET('BPC Data'!$F:$F,0,Summary!Q$2),'BPC Data'!$E:$E,Summary!$D366,'BPC Data'!$B:$B,Summary!$C366)</f>
        <v>0</v>
      </c>
      <c r="R366" s="183">
        <f ca="1">SUMIFS(OFFSET('BPC Data'!$F:$F,0,Summary!R$2),'BPC Data'!$E:$E,Summary!$D366,'BPC Data'!$B:$B,Summary!$C366)</f>
        <v>5000</v>
      </c>
      <c r="S366" s="187">
        <f t="shared" ca="1" si="118"/>
        <v>44585</v>
      </c>
      <c r="T366" s="181"/>
    </row>
    <row r="367" spans="1:20" s="17" customFormat="1" outlineLevel="1" x14ac:dyDescent="0.25">
      <c r="A367" s="17">
        <f t="shared" si="128"/>
        <v>33</v>
      </c>
      <c r="B367"/>
      <c r="C367" t="str">
        <f>$F361</f>
        <v>SHC of Carrollton Rehab &amp; Wellness Center</v>
      </c>
      <c r="D367" s="2" t="str">
        <f t="shared" si="122"/>
        <v>T_EBITDARM - EBITDARM</v>
      </c>
      <c r="E367"/>
      <c r="F367" s="24" t="str">
        <f>_xll.EVDES(D367)</f>
        <v>EBITDARM</v>
      </c>
      <c r="G367" s="19">
        <f ca="1">SUMIFS(OFFSET('BPC Data'!$F:$F,0,Summary!G$2),'BPC Data'!$E:$E,Summary!$D367,'BPC Data'!$B:$B,Summary!$C367)</f>
        <v>913</v>
      </c>
      <c r="H367" s="183">
        <f ca="1">SUMIFS(OFFSET('BPC Data'!$F:$F,0,Summary!H$2),'BPC Data'!$E:$E,Summary!$D367,'BPC Data'!$B:$B,Summary!$C367)</f>
        <v>49638</v>
      </c>
      <c r="I367" s="19">
        <f ca="1">SUMIFS(OFFSET('BPC Data'!$F:$F,0,Summary!I$2),'BPC Data'!$E:$E,Summary!$D367,'BPC Data'!$B:$B,Summary!$C367)</f>
        <v>32738</v>
      </c>
      <c r="J367" s="183">
        <f ca="1">SUMIFS(OFFSET('BPC Data'!$F:$F,0,Summary!J$2),'BPC Data'!$E:$E,Summary!$D367,'BPC Data'!$B:$B,Summary!$C367)</f>
        <v>109087</v>
      </c>
      <c r="K367" s="19">
        <f ca="1">SUMIFS(OFFSET('BPC Data'!$F:$F,0,Summary!K$2),'BPC Data'!$E:$E,Summary!$D367,'BPC Data'!$B:$B,Summary!$C367)</f>
        <v>15688</v>
      </c>
      <c r="L367" s="183">
        <f ca="1">SUMIFS(OFFSET('BPC Data'!$F:$F,0,Summary!L$2),'BPC Data'!$E:$E,Summary!$D367,'BPC Data'!$B:$B,Summary!$C367)</f>
        <v>-5034</v>
      </c>
      <c r="M367" s="19">
        <f ca="1">SUMIFS(OFFSET('BPC Data'!$F:$F,0,Summary!M$2),'BPC Data'!$E:$E,Summary!$D367,'BPC Data'!$B:$B,Summary!$C367)</f>
        <v>88520</v>
      </c>
      <c r="N367" s="183">
        <f ca="1">SUMIFS(OFFSET('BPC Data'!$F:$F,0,Summary!N$2),'BPC Data'!$E:$E,Summary!$D367,'BPC Data'!$B:$B,Summary!$C367)</f>
        <v>8866</v>
      </c>
      <c r="O367" s="19">
        <f ca="1">SUMIFS(OFFSET('BPC Data'!$F:$F,0,Summary!O$2),'BPC Data'!$E:$E,Summary!$D367,'BPC Data'!$B:$B,Summary!$C367)</f>
        <v>29929</v>
      </c>
      <c r="P367" s="183">
        <f ca="1">SUMIFS(OFFSET('BPC Data'!$F:$F,0,Summary!P$2),'BPC Data'!$E:$E,Summary!$D367,'BPC Data'!$B:$B,Summary!$C367)</f>
        <v>-32367</v>
      </c>
      <c r="Q367" s="19">
        <f ca="1">SUMIFS(OFFSET('BPC Data'!$F:$F,0,Summary!Q$2),'BPC Data'!$E:$E,Summary!$D367,'BPC Data'!$B:$B,Summary!$C367)</f>
        <v>20948</v>
      </c>
      <c r="R367" s="183">
        <f ca="1">SUMIFS(OFFSET('BPC Data'!$F:$F,0,Summary!R$2),'BPC Data'!$E:$E,Summary!$D367,'BPC Data'!$B:$B,Summary!$C367)</f>
        <v>9230</v>
      </c>
      <c r="S367" s="187">
        <f t="shared" ca="1" si="118"/>
        <v>328156</v>
      </c>
      <c r="T367" s="181"/>
    </row>
    <row r="368" spans="1:20" s="17" customFormat="1" outlineLevel="1" x14ac:dyDescent="0.25">
      <c r="A368" s="17">
        <f t="shared" si="128"/>
        <v>33</v>
      </c>
      <c r="B368"/>
      <c r="C368" t="str">
        <f>$F361</f>
        <v>SHC of Carrollton Rehab &amp; Wellness Center</v>
      </c>
      <c r="D368" s="2" t="str">
        <f t="shared" si="122"/>
        <v>T_MGMT_FEE - Tenant Management Fee - Actual</v>
      </c>
      <c r="E368"/>
      <c r="F368" s="24" t="str">
        <f>_xll.EVDES(D368)</f>
        <v>Tenant Management Fee - Actual</v>
      </c>
      <c r="G368" s="19">
        <f ca="1">SUMIFS(OFFSET('BPC Data'!$F:$F,0,Summary!G$2),'BPC Data'!$E:$E,Summary!$D368,'BPC Data'!$B:$B,Summary!$C368)</f>
        <v>23329</v>
      </c>
      <c r="H368" s="183">
        <f ca="1">SUMIFS(OFFSET('BPC Data'!$F:$F,0,Summary!H$2),'BPC Data'!$E:$E,Summary!$D368,'BPC Data'!$B:$B,Summary!$C368)</f>
        <v>24552</v>
      </c>
      <c r="I368" s="19">
        <f ca="1">SUMIFS(OFFSET('BPC Data'!$F:$F,0,Summary!I$2),'BPC Data'!$E:$E,Summary!$D368,'BPC Data'!$B:$B,Summary!$C368)</f>
        <v>24187</v>
      </c>
      <c r="J368" s="183">
        <f ca="1">SUMIFS(OFFSET('BPC Data'!$F:$F,0,Summary!J$2),'BPC Data'!$E:$E,Summary!$D368,'BPC Data'!$B:$B,Summary!$C368)</f>
        <v>40347</v>
      </c>
      <c r="K368" s="19">
        <f ca="1">SUMIFS(OFFSET('BPC Data'!$F:$F,0,Summary!K$2),'BPC Data'!$E:$E,Summary!$D368,'BPC Data'!$B:$B,Summary!$C368)</f>
        <v>27370</v>
      </c>
      <c r="L368" s="183">
        <f ca="1">SUMIFS(OFFSET('BPC Data'!$F:$F,0,Summary!L$2),'BPC Data'!$E:$E,Summary!$D368,'BPC Data'!$B:$B,Summary!$C368)</f>
        <v>22730</v>
      </c>
      <c r="M368" s="19">
        <f ca="1">SUMIFS(OFFSET('BPC Data'!$F:$F,0,Summary!M$2),'BPC Data'!$E:$E,Summary!$D368,'BPC Data'!$B:$B,Summary!$C368)</f>
        <v>28916</v>
      </c>
      <c r="N368" s="183">
        <f ca="1">SUMIFS(OFFSET('BPC Data'!$F:$F,0,Summary!N$2),'BPC Data'!$E:$E,Summary!$D368,'BPC Data'!$B:$B,Summary!$C368)</f>
        <v>27622</v>
      </c>
      <c r="O368" s="19">
        <f ca="1">SUMIFS(OFFSET('BPC Data'!$F:$F,0,Summary!O$2),'BPC Data'!$E:$E,Summary!$D368,'BPC Data'!$B:$B,Summary!$C368)</f>
        <v>29664</v>
      </c>
      <c r="P368" s="183">
        <f ca="1">SUMIFS(OFFSET('BPC Data'!$F:$F,0,Summary!P$2),'BPC Data'!$E:$E,Summary!$D368,'BPC Data'!$B:$B,Summary!$C368)</f>
        <v>26146</v>
      </c>
      <c r="Q368" s="19">
        <f ca="1">SUMIFS(OFFSET('BPC Data'!$F:$F,0,Summary!Q$2),'BPC Data'!$E:$E,Summary!$D368,'BPC Data'!$B:$B,Summary!$C368)</f>
        <v>27189</v>
      </c>
      <c r="R368" s="183">
        <f ca="1">SUMIFS(OFFSET('BPC Data'!$F:$F,0,Summary!R$2),'BPC Data'!$E:$E,Summary!$D368,'BPC Data'!$B:$B,Summary!$C368)</f>
        <v>26440</v>
      </c>
      <c r="S368" s="187">
        <f t="shared" ca="1" si="118"/>
        <v>328492</v>
      </c>
      <c r="T368" s="181"/>
    </row>
    <row r="369" spans="1:20" s="17" customFormat="1" outlineLevel="1" x14ac:dyDescent="0.25">
      <c r="A369" s="17">
        <f t="shared" si="128"/>
        <v>33</v>
      </c>
      <c r="B369"/>
      <c r="C369" t="str">
        <f>$F361</f>
        <v>SHC of Carrollton Rehab &amp; Wellness Center</v>
      </c>
      <c r="D369" s="1" t="str">
        <f t="shared" si="122"/>
        <v>T_EBITDAR - EBITDAR</v>
      </c>
      <c r="E369"/>
      <c r="F369" s="24" t="str">
        <f>_xll.EVDES(D369)</f>
        <v>EBITDAR</v>
      </c>
      <c r="G369" s="19">
        <f ca="1">SUMIFS(OFFSET('BPC Data'!$F:$F,0,Summary!G$2),'BPC Data'!$E:$E,Summary!$D369,'BPC Data'!$B:$B,Summary!$C369)</f>
        <v>-22416</v>
      </c>
      <c r="H369" s="183">
        <f ca="1">SUMIFS(OFFSET('BPC Data'!$F:$F,0,Summary!H$2),'BPC Data'!$E:$E,Summary!$D369,'BPC Data'!$B:$B,Summary!$C369)</f>
        <v>25086</v>
      </c>
      <c r="I369" s="19">
        <f ca="1">SUMIFS(OFFSET('BPC Data'!$F:$F,0,Summary!I$2),'BPC Data'!$E:$E,Summary!$D369,'BPC Data'!$B:$B,Summary!$C369)</f>
        <v>8551</v>
      </c>
      <c r="J369" s="183">
        <f ca="1">SUMIFS(OFFSET('BPC Data'!$F:$F,0,Summary!J$2),'BPC Data'!$E:$E,Summary!$D369,'BPC Data'!$B:$B,Summary!$C369)</f>
        <v>68740</v>
      </c>
      <c r="K369" s="19">
        <f ca="1">SUMIFS(OFFSET('BPC Data'!$F:$F,0,Summary!K$2),'BPC Data'!$E:$E,Summary!$D369,'BPC Data'!$B:$B,Summary!$C369)</f>
        <v>-11682</v>
      </c>
      <c r="L369" s="183">
        <f ca="1">SUMIFS(OFFSET('BPC Data'!$F:$F,0,Summary!L$2),'BPC Data'!$E:$E,Summary!$D369,'BPC Data'!$B:$B,Summary!$C369)</f>
        <v>-27764</v>
      </c>
      <c r="M369" s="19">
        <f ca="1">SUMIFS(OFFSET('BPC Data'!$F:$F,0,Summary!M$2),'BPC Data'!$E:$E,Summary!$D369,'BPC Data'!$B:$B,Summary!$C369)</f>
        <v>59604</v>
      </c>
      <c r="N369" s="183">
        <f ca="1">SUMIFS(OFFSET('BPC Data'!$F:$F,0,Summary!N$2),'BPC Data'!$E:$E,Summary!$D369,'BPC Data'!$B:$B,Summary!$C369)</f>
        <v>-18756</v>
      </c>
      <c r="O369" s="19">
        <f ca="1">SUMIFS(OFFSET('BPC Data'!$F:$F,0,Summary!O$2),'BPC Data'!$E:$E,Summary!$D369,'BPC Data'!$B:$B,Summary!$C369)</f>
        <v>265</v>
      </c>
      <c r="P369" s="183">
        <f ca="1">SUMIFS(OFFSET('BPC Data'!$F:$F,0,Summary!P$2),'BPC Data'!$E:$E,Summary!$D369,'BPC Data'!$B:$B,Summary!$C369)</f>
        <v>-58513</v>
      </c>
      <c r="Q369" s="19">
        <f ca="1">SUMIFS(OFFSET('BPC Data'!$F:$F,0,Summary!Q$2),'BPC Data'!$E:$E,Summary!$D369,'BPC Data'!$B:$B,Summary!$C369)</f>
        <v>-6241</v>
      </c>
      <c r="R369" s="183">
        <f ca="1">SUMIFS(OFFSET('BPC Data'!$F:$F,0,Summary!R$2),'BPC Data'!$E:$E,Summary!$D369,'BPC Data'!$B:$B,Summary!$C369)</f>
        <v>-17210</v>
      </c>
      <c r="S369" s="187">
        <f t="shared" ca="1" si="118"/>
        <v>-336</v>
      </c>
      <c r="T369" s="181"/>
    </row>
    <row r="370" spans="1:20" s="17" customFormat="1" outlineLevel="1" x14ac:dyDescent="0.25">
      <c r="A370" s="17">
        <f t="shared" si="128"/>
        <v>33</v>
      </c>
      <c r="B370"/>
      <c r="C370" t="str">
        <f>$F361</f>
        <v>SHC of Carrollton Rehab &amp; Wellness Center</v>
      </c>
      <c r="D370" s="1" t="str">
        <f t="shared" si="122"/>
        <v>T_RENT_EXP - Tenant Rent Expense</v>
      </c>
      <c r="E370"/>
      <c r="F370" s="24" t="str">
        <f>_xll.EVDES(D370)</f>
        <v>Tenant Rent Expense</v>
      </c>
      <c r="G370" s="19">
        <f ca="1">SUMIFS(OFFSET('BPC Data'!$F:$F,0,Summary!G$2),'BPC Data'!$E:$E,Summary!$D370,'BPC Data'!$B:$B,Summary!$C370)</f>
        <v>5253</v>
      </c>
      <c r="H370" s="183">
        <f ca="1">SUMIFS(OFFSET('BPC Data'!$F:$F,0,Summary!H$2),'BPC Data'!$E:$E,Summary!$D370,'BPC Data'!$B:$B,Summary!$C370)</f>
        <v>5253</v>
      </c>
      <c r="I370" s="19">
        <f ca="1">SUMIFS(OFFSET('BPC Data'!$F:$F,0,Summary!I$2),'BPC Data'!$E:$E,Summary!$D370,'BPC Data'!$B:$B,Summary!$C370)</f>
        <v>5253</v>
      </c>
      <c r="J370" s="183">
        <f ca="1">SUMIFS(OFFSET('BPC Data'!$F:$F,0,Summary!J$2),'BPC Data'!$E:$E,Summary!$D370,'BPC Data'!$B:$B,Summary!$C370)</f>
        <v>5384</v>
      </c>
      <c r="K370" s="19">
        <f ca="1">SUMIFS(OFFSET('BPC Data'!$F:$F,0,Summary!K$2),'BPC Data'!$E:$E,Summary!$D370,'BPC Data'!$B:$B,Summary!$C370)</f>
        <v>5384</v>
      </c>
      <c r="L370" s="183">
        <f ca="1">SUMIFS(OFFSET('BPC Data'!$F:$F,0,Summary!L$2),'BPC Data'!$E:$E,Summary!$D370,'BPC Data'!$B:$B,Summary!$C370)</f>
        <v>5384</v>
      </c>
      <c r="M370" s="19">
        <f ca="1">SUMIFS(OFFSET('BPC Data'!$F:$F,0,Summary!M$2),'BPC Data'!$E:$E,Summary!$D370,'BPC Data'!$B:$B,Summary!$C370)</f>
        <v>5384</v>
      </c>
      <c r="N370" s="183">
        <f ca="1">SUMIFS(OFFSET('BPC Data'!$F:$F,0,Summary!N$2),'BPC Data'!$E:$E,Summary!$D370,'BPC Data'!$B:$B,Summary!$C370)</f>
        <v>5384</v>
      </c>
      <c r="O370" s="19">
        <f ca="1">SUMIFS(OFFSET('BPC Data'!$F:$F,0,Summary!O$2),'BPC Data'!$E:$E,Summary!$D370,'BPC Data'!$B:$B,Summary!$C370)</f>
        <v>5384</v>
      </c>
      <c r="P370" s="183">
        <f ca="1">SUMIFS(OFFSET('BPC Data'!$F:$F,0,Summary!P$2),'BPC Data'!$E:$E,Summary!$D370,'BPC Data'!$B:$B,Summary!$C370)</f>
        <v>5384</v>
      </c>
      <c r="Q370" s="19">
        <f ca="1">SUMIFS(OFFSET('BPC Data'!$F:$F,0,Summary!Q$2),'BPC Data'!$E:$E,Summary!$D370,'BPC Data'!$B:$B,Summary!$C370)</f>
        <v>5384</v>
      </c>
      <c r="R370" s="183">
        <f ca="1">SUMIFS(OFFSET('BPC Data'!$F:$F,0,Summary!R$2),'BPC Data'!$E:$E,Summary!$D370,'BPC Data'!$B:$B,Summary!$C370)</f>
        <v>5384</v>
      </c>
      <c r="S370" s="187">
        <f t="shared" ca="1" si="118"/>
        <v>64215</v>
      </c>
      <c r="T370" s="181"/>
    </row>
    <row r="371" spans="1:20" s="17" customFormat="1" outlineLevel="1" x14ac:dyDescent="0.25">
      <c r="A371" s="17">
        <f t="shared" si="128"/>
        <v>33</v>
      </c>
      <c r="B371"/>
      <c r="C371"/>
      <c r="D371" s="1" t="str">
        <f t="shared" si="122"/>
        <v>x</v>
      </c>
      <c r="E371"/>
      <c r="F371" s="24" t="s">
        <v>0</v>
      </c>
      <c r="G371" s="12">
        <f ca="1">G369/G370</f>
        <v>-4.2672758423757848</v>
      </c>
      <c r="H371" s="184">
        <f t="shared" ref="H371:I371" ca="1" si="129">H369/H370</f>
        <v>4.7755568246716162</v>
      </c>
      <c r="I371" s="12">
        <f t="shared" ca="1" si="129"/>
        <v>1.6278317152103561</v>
      </c>
      <c r="J371" s="184">
        <f t="shared" ref="J371:R371" ca="1" si="130">J369/J370</f>
        <v>12.767459138187222</v>
      </c>
      <c r="K371" s="12">
        <f t="shared" ca="1" si="130"/>
        <v>-2.1697622585438334</v>
      </c>
      <c r="L371" s="184">
        <f t="shared" ca="1" si="130"/>
        <v>-5.1567607726597329</v>
      </c>
      <c r="M371" s="12">
        <f t="shared" ca="1" si="130"/>
        <v>11.070579494799405</v>
      </c>
      <c r="N371" s="184">
        <f t="shared" ca="1" si="130"/>
        <v>-3.4836552748885588</v>
      </c>
      <c r="O371" s="12">
        <f t="shared" ca="1" si="130"/>
        <v>4.9219910846953936E-2</v>
      </c>
      <c r="P371" s="184">
        <f t="shared" ca="1" si="130"/>
        <v>-10.867942050520059</v>
      </c>
      <c r="Q371" s="12">
        <f t="shared" ca="1" si="130"/>
        <v>-1.1591753343239228</v>
      </c>
      <c r="R371" s="184">
        <f t="shared" ca="1" si="130"/>
        <v>-3.1965081723625559</v>
      </c>
      <c r="S371" s="187">
        <f t="shared" ca="1" si="118"/>
        <v>-1.0432621958893051E-2</v>
      </c>
      <c r="T371" s="181"/>
    </row>
    <row r="372" spans="1:20" s="17" customFormat="1" outlineLevel="1" x14ac:dyDescent="0.25">
      <c r="A372" s="17">
        <f>IF(AND(D372&lt;&gt;"",C372=""),A371+1,A371)</f>
        <v>34</v>
      </c>
      <c r="B372" s="5"/>
      <c r="C372" s="5"/>
      <c r="D372" s="5" t="str">
        <f t="shared" si="122"/>
        <v>x</v>
      </c>
      <c r="E372" s="5"/>
      <c r="F372" s="23" t="str">
        <f>INDEX(PropertyList!$D:$D,MATCH(Summary!$A372,PropertyList!$C:$C,0))</f>
        <v>SHC of Hart County Rehab &amp; Wellness Center</v>
      </c>
      <c r="G372" s="11"/>
      <c r="H372" s="182"/>
      <c r="I372" s="11"/>
      <c r="J372" s="182"/>
      <c r="K372" s="11"/>
      <c r="L372" s="182"/>
      <c r="M372" s="11"/>
      <c r="N372" s="182"/>
      <c r="O372" s="11"/>
      <c r="P372" s="182"/>
      <c r="Q372" s="11"/>
      <c r="R372" s="182"/>
      <c r="S372" s="187">
        <f t="shared" si="118"/>
        <v>0</v>
      </c>
      <c r="T372" s="181"/>
    </row>
    <row r="373" spans="1:20" s="17" customFormat="1" outlineLevel="1" x14ac:dyDescent="0.25">
      <c r="A373" s="17">
        <f>IF(AND(F373&lt;&gt;"",D373=""),A372+1,A372)</f>
        <v>34</v>
      </c>
      <c r="C373" t="str">
        <f>$F372</f>
        <v>SHC of Hart County Rehab &amp; Wellness Center</v>
      </c>
      <c r="D373" s="3" t="str">
        <f t="shared" si="122"/>
        <v>PAY_PAT_DAYS - Total Payor Patient Days</v>
      </c>
      <c r="F373" s="24" t="str">
        <f>_xll.EVDES(D373)</f>
        <v>Total Payor Patient Days</v>
      </c>
      <c r="G373" s="19">
        <f ca="1">SUMIFS(OFFSET('BPC Data'!$F:$F,0,Summary!G$2),'BPC Data'!$E:$E,Summary!$D373,'BPC Data'!$B:$B,Summary!$C373)</f>
        <v>2603</v>
      </c>
      <c r="H373" s="183">
        <f ca="1">SUMIFS(OFFSET('BPC Data'!$F:$F,0,Summary!H$2),'BPC Data'!$E:$E,Summary!$D373,'BPC Data'!$B:$B,Summary!$C373)</f>
        <v>2614</v>
      </c>
      <c r="I373" s="19">
        <f ca="1">SUMIFS(OFFSET('BPC Data'!$F:$F,0,Summary!I$2),'BPC Data'!$E:$E,Summary!$D373,'BPC Data'!$B:$B,Summary!$C373)</f>
        <v>2545</v>
      </c>
      <c r="J373" s="183">
        <f ca="1">SUMIFS(OFFSET('BPC Data'!$F:$F,0,Summary!J$2),'BPC Data'!$E:$E,Summary!$D373,'BPC Data'!$B:$B,Summary!$C373)</f>
        <v>2473</v>
      </c>
      <c r="K373" s="19">
        <f ca="1">SUMIFS(OFFSET('BPC Data'!$F:$F,0,Summary!K$2),'BPC Data'!$E:$E,Summary!$D373,'BPC Data'!$B:$B,Summary!$C373)</f>
        <v>2416</v>
      </c>
      <c r="L373" s="183">
        <f ca="1">SUMIFS(OFFSET('BPC Data'!$F:$F,0,Summary!L$2),'BPC Data'!$E:$E,Summary!$D373,'BPC Data'!$B:$B,Summary!$C373)</f>
        <v>2273</v>
      </c>
      <c r="M373" s="19">
        <f ca="1">SUMIFS(OFFSET('BPC Data'!$F:$F,0,Summary!M$2),'BPC Data'!$E:$E,Summary!$D373,'BPC Data'!$B:$B,Summary!$C373)</f>
        <v>2610</v>
      </c>
      <c r="N373" s="183">
        <f ca="1">SUMIFS(OFFSET('BPC Data'!$F:$F,0,Summary!N$2),'BPC Data'!$E:$E,Summary!$D373,'BPC Data'!$B:$B,Summary!$C373)</f>
        <v>2534</v>
      </c>
      <c r="O373" s="19">
        <f ca="1">SUMIFS(OFFSET('BPC Data'!$F:$F,0,Summary!O$2),'BPC Data'!$E:$E,Summary!$D373,'BPC Data'!$B:$B,Summary!$C373)</f>
        <v>2642</v>
      </c>
      <c r="P373" s="183">
        <f ca="1">SUMIFS(OFFSET('BPC Data'!$F:$F,0,Summary!P$2),'BPC Data'!$E:$E,Summary!$D373,'BPC Data'!$B:$B,Summary!$C373)</f>
        <v>2531</v>
      </c>
      <c r="Q373" s="19">
        <f ca="1">SUMIFS(OFFSET('BPC Data'!$F:$F,0,Summary!Q$2),'BPC Data'!$E:$E,Summary!$D373,'BPC Data'!$B:$B,Summary!$C373)</f>
        <v>2741</v>
      </c>
      <c r="R373" s="183">
        <f ca="1">SUMIFS(OFFSET('BPC Data'!$F:$F,0,Summary!R$2),'BPC Data'!$E:$E,Summary!$D373,'BPC Data'!$B:$B,Summary!$C373)</f>
        <v>2752</v>
      </c>
      <c r="S373" s="187">
        <f t="shared" ca="1" si="118"/>
        <v>30734</v>
      </c>
      <c r="T373" s="181"/>
    </row>
    <row r="374" spans="1:20" s="17" customFormat="1" outlineLevel="1" x14ac:dyDescent="0.25">
      <c r="A374" s="17">
        <f t="shared" ref="A374:A382" si="131">IF(AND(F374&lt;&gt;"",D374=""),A373+1,A373)</f>
        <v>34</v>
      </c>
      <c r="C374" t="str">
        <f>$F372</f>
        <v>SHC of Hart County Rehab &amp; Wellness Center</v>
      </c>
      <c r="D374" s="3" t="str">
        <f t="shared" si="122"/>
        <v>A_BEDS_TOTAL - Total Available Beds</v>
      </c>
      <c r="F374" s="24" t="str">
        <f>_xll.EVDES(D374)</f>
        <v>Total Available Beds</v>
      </c>
      <c r="G374" s="19">
        <f ca="1">SUMIFS(OFFSET('BPC Data'!$F:$F,0,Summary!G$2),'BPC Data'!$E:$E,Summary!$D374,'BPC Data'!$B:$B,Summary!$C374)</f>
        <v>98</v>
      </c>
      <c r="H374" s="183">
        <f ca="1">SUMIFS(OFFSET('BPC Data'!$F:$F,0,Summary!H$2),'BPC Data'!$E:$E,Summary!$D374,'BPC Data'!$B:$B,Summary!$C374)</f>
        <v>98</v>
      </c>
      <c r="I374" s="19">
        <f ca="1">SUMIFS(OFFSET('BPC Data'!$F:$F,0,Summary!I$2),'BPC Data'!$E:$E,Summary!$D374,'BPC Data'!$B:$B,Summary!$C374)</f>
        <v>98</v>
      </c>
      <c r="J374" s="183">
        <f ca="1">SUMIFS(OFFSET('BPC Data'!$F:$F,0,Summary!J$2),'BPC Data'!$E:$E,Summary!$D374,'BPC Data'!$B:$B,Summary!$C374)</f>
        <v>98</v>
      </c>
      <c r="K374" s="19">
        <f ca="1">SUMIFS(OFFSET('BPC Data'!$F:$F,0,Summary!K$2),'BPC Data'!$E:$E,Summary!$D374,'BPC Data'!$B:$B,Summary!$C374)</f>
        <v>98</v>
      </c>
      <c r="L374" s="183">
        <f ca="1">SUMIFS(OFFSET('BPC Data'!$F:$F,0,Summary!L$2),'BPC Data'!$E:$E,Summary!$D374,'BPC Data'!$B:$B,Summary!$C374)</f>
        <v>98</v>
      </c>
      <c r="M374" s="19">
        <f ca="1">SUMIFS(OFFSET('BPC Data'!$F:$F,0,Summary!M$2),'BPC Data'!$E:$E,Summary!$D374,'BPC Data'!$B:$B,Summary!$C374)</f>
        <v>98</v>
      </c>
      <c r="N374" s="183">
        <f ca="1">SUMIFS(OFFSET('BPC Data'!$F:$F,0,Summary!N$2),'BPC Data'!$E:$E,Summary!$D374,'BPC Data'!$B:$B,Summary!$C374)</f>
        <v>98</v>
      </c>
      <c r="O374" s="19">
        <f ca="1">SUMIFS(OFFSET('BPC Data'!$F:$F,0,Summary!O$2),'BPC Data'!$E:$E,Summary!$D374,'BPC Data'!$B:$B,Summary!$C374)</f>
        <v>98</v>
      </c>
      <c r="P374" s="183">
        <f ca="1">SUMIFS(OFFSET('BPC Data'!$F:$F,0,Summary!P$2),'BPC Data'!$E:$E,Summary!$D374,'BPC Data'!$B:$B,Summary!$C374)</f>
        <v>98</v>
      </c>
      <c r="Q374" s="19">
        <f ca="1">SUMIFS(OFFSET('BPC Data'!$F:$F,0,Summary!Q$2),'BPC Data'!$E:$E,Summary!$D374,'BPC Data'!$B:$B,Summary!$C374)</f>
        <v>98</v>
      </c>
      <c r="R374" s="183">
        <f ca="1">SUMIFS(OFFSET('BPC Data'!$F:$F,0,Summary!R$2),'BPC Data'!$E:$E,Summary!$D374,'BPC Data'!$B:$B,Summary!$C374)</f>
        <v>98</v>
      </c>
      <c r="S374" s="187">
        <f ca="1">R374</f>
        <v>98</v>
      </c>
      <c r="T374" s="181"/>
    </row>
    <row r="375" spans="1:20" s="17" customFormat="1" outlineLevel="1" x14ac:dyDescent="0.25">
      <c r="A375" s="17">
        <f t="shared" si="131"/>
        <v>34</v>
      </c>
      <c r="B375"/>
      <c r="C375" t="str">
        <f>$F372</f>
        <v>SHC of Hart County Rehab &amp; Wellness Center</v>
      </c>
      <c r="D375" s="3" t="str">
        <f t="shared" si="122"/>
        <v>T_REVENUES - Total Tenant Revenues</v>
      </c>
      <c r="E375"/>
      <c r="F375" s="24" t="str">
        <f>_xll.EVDES(D375)</f>
        <v>Total Tenant Revenues</v>
      </c>
      <c r="G375" s="19">
        <f ca="1">SUMIFS(OFFSET('BPC Data'!$F:$F,0,Summary!G$2),'BPC Data'!$E:$E,Summary!$D375,'BPC Data'!$B:$B,Summary!$C375)</f>
        <v>679820</v>
      </c>
      <c r="H375" s="183">
        <f ca="1">SUMIFS(OFFSET('BPC Data'!$F:$F,0,Summary!H$2),'BPC Data'!$E:$E,Summary!$D375,'BPC Data'!$B:$B,Summary!$C375)</f>
        <v>680379</v>
      </c>
      <c r="I375" s="19">
        <f ca="1">SUMIFS(OFFSET('BPC Data'!$F:$F,0,Summary!I$2),'BPC Data'!$E:$E,Summary!$D375,'BPC Data'!$B:$B,Summary!$C375)</f>
        <v>657845</v>
      </c>
      <c r="J375" s="183">
        <f ca="1">SUMIFS(OFFSET('BPC Data'!$F:$F,0,Summary!J$2),'BPC Data'!$E:$E,Summary!$D375,'BPC Data'!$B:$B,Summary!$C375)</f>
        <v>860870</v>
      </c>
      <c r="K375" s="19">
        <f ca="1">SUMIFS(OFFSET('BPC Data'!$F:$F,0,Summary!K$2),'BPC Data'!$E:$E,Summary!$D375,'BPC Data'!$B:$B,Summary!$C375)</f>
        <v>723017</v>
      </c>
      <c r="L375" s="183">
        <f ca="1">SUMIFS(OFFSET('BPC Data'!$F:$F,0,Summary!L$2),'BPC Data'!$E:$E,Summary!$D375,'BPC Data'!$B:$B,Summary!$C375)</f>
        <v>636530</v>
      </c>
      <c r="M375" s="19">
        <f ca="1">SUMIFS(OFFSET('BPC Data'!$F:$F,0,Summary!M$2),'BPC Data'!$E:$E,Summary!$D375,'BPC Data'!$B:$B,Summary!$C375)</f>
        <v>827905</v>
      </c>
      <c r="N375" s="183">
        <f ca="1">SUMIFS(OFFSET('BPC Data'!$F:$F,0,Summary!N$2),'BPC Data'!$E:$E,Summary!$D375,'BPC Data'!$B:$B,Summary!$C375)</f>
        <v>710891</v>
      </c>
      <c r="O375" s="19">
        <f ca="1">SUMIFS(OFFSET('BPC Data'!$F:$F,0,Summary!O$2),'BPC Data'!$E:$E,Summary!$D375,'BPC Data'!$B:$B,Summary!$C375)</f>
        <v>756771</v>
      </c>
      <c r="P375" s="183">
        <f ca="1">SUMIFS(OFFSET('BPC Data'!$F:$F,0,Summary!P$2),'BPC Data'!$E:$E,Summary!$D375,'BPC Data'!$B:$B,Summary!$C375)</f>
        <v>690067</v>
      </c>
      <c r="Q375" s="19">
        <f ca="1">SUMIFS(OFFSET('BPC Data'!$F:$F,0,Summary!Q$2),'BPC Data'!$E:$E,Summary!$D375,'BPC Data'!$B:$B,Summary!$C375)</f>
        <v>767057</v>
      </c>
      <c r="R375" s="183">
        <f ca="1">SUMIFS(OFFSET('BPC Data'!$F:$F,0,Summary!R$2),'BPC Data'!$E:$E,Summary!$D375,'BPC Data'!$B:$B,Summary!$C375)</f>
        <v>752784</v>
      </c>
      <c r="S375" s="187">
        <f t="shared" ca="1" si="118"/>
        <v>8743936</v>
      </c>
      <c r="T375" s="181"/>
    </row>
    <row r="376" spans="1:20" s="17" customFormat="1" outlineLevel="1" x14ac:dyDescent="0.25">
      <c r="A376" s="17">
        <f t="shared" si="131"/>
        <v>34</v>
      </c>
      <c r="B376"/>
      <c r="C376" t="str">
        <f>$F372</f>
        <v>SHC of Hart County Rehab &amp; Wellness Center</v>
      </c>
      <c r="D376" s="3" t="str">
        <f t="shared" si="122"/>
        <v>T_OPEX - Tenant Operating Expenses</v>
      </c>
      <c r="E376"/>
      <c r="F376" s="24" t="str">
        <f>_xll.EVDES(D376)</f>
        <v>Tenant Operating Expenses</v>
      </c>
      <c r="G376" s="19">
        <f ca="1">SUMIFS(OFFSET('BPC Data'!$F:$F,0,Summary!G$2),'BPC Data'!$E:$E,Summary!$D376,'BPC Data'!$B:$B,Summary!$C376)</f>
        <v>569618</v>
      </c>
      <c r="H376" s="183">
        <f ca="1">SUMIFS(OFFSET('BPC Data'!$F:$F,0,Summary!H$2),'BPC Data'!$E:$E,Summary!$D376,'BPC Data'!$B:$B,Summary!$C376)</f>
        <v>558436</v>
      </c>
      <c r="I376" s="19">
        <f ca="1">SUMIFS(OFFSET('BPC Data'!$F:$F,0,Summary!I$2),'BPC Data'!$E:$E,Summary!$D376,'BPC Data'!$B:$B,Summary!$C376)</f>
        <v>544810</v>
      </c>
      <c r="J376" s="183">
        <f ca="1">SUMIFS(OFFSET('BPC Data'!$F:$F,0,Summary!J$2),'BPC Data'!$E:$E,Summary!$D376,'BPC Data'!$B:$B,Summary!$C376)</f>
        <v>819926</v>
      </c>
      <c r="K376" s="19">
        <f ca="1">SUMIFS(OFFSET('BPC Data'!$F:$F,0,Summary!K$2),'BPC Data'!$E:$E,Summary!$D376,'BPC Data'!$B:$B,Summary!$C376)</f>
        <v>575876</v>
      </c>
      <c r="L376" s="183">
        <f ca="1">SUMIFS(OFFSET('BPC Data'!$F:$F,0,Summary!L$2),'BPC Data'!$E:$E,Summary!$D376,'BPC Data'!$B:$B,Summary!$C376)</f>
        <v>506317</v>
      </c>
      <c r="M376" s="19">
        <f ca="1">SUMIFS(OFFSET('BPC Data'!$F:$F,0,Summary!M$2),'BPC Data'!$E:$E,Summary!$D376,'BPC Data'!$B:$B,Summary!$C376)</f>
        <v>575128</v>
      </c>
      <c r="N376" s="183">
        <f ca="1">SUMIFS(OFFSET('BPC Data'!$F:$F,0,Summary!N$2),'BPC Data'!$E:$E,Summary!$D376,'BPC Data'!$B:$B,Summary!$C376)</f>
        <v>512930</v>
      </c>
      <c r="O376" s="19">
        <f ca="1">SUMIFS(OFFSET('BPC Data'!$F:$F,0,Summary!O$2),'BPC Data'!$E:$E,Summary!$D376,'BPC Data'!$B:$B,Summary!$C376)</f>
        <v>550977</v>
      </c>
      <c r="P376" s="183">
        <f ca="1">SUMIFS(OFFSET('BPC Data'!$F:$F,0,Summary!P$2),'BPC Data'!$E:$E,Summary!$D376,'BPC Data'!$B:$B,Summary!$C376)</f>
        <v>517446</v>
      </c>
      <c r="Q376" s="19">
        <f ca="1">SUMIFS(OFFSET('BPC Data'!$F:$F,0,Summary!Q$2),'BPC Data'!$E:$E,Summary!$D376,'BPC Data'!$B:$B,Summary!$C376)</f>
        <v>539855</v>
      </c>
      <c r="R376" s="183">
        <f ca="1">SUMIFS(OFFSET('BPC Data'!$F:$F,0,Summary!R$2),'BPC Data'!$E:$E,Summary!$D376,'BPC Data'!$B:$B,Summary!$C376)</f>
        <v>561647</v>
      </c>
      <c r="S376" s="187">
        <f t="shared" ca="1" si="118"/>
        <v>6832966</v>
      </c>
      <c r="T376" s="181"/>
    </row>
    <row r="377" spans="1:20" s="17" customFormat="1" outlineLevel="1" x14ac:dyDescent="0.25">
      <c r="A377" s="17">
        <f t="shared" si="131"/>
        <v>34</v>
      </c>
      <c r="B377"/>
      <c r="C377" t="str">
        <f>$F372</f>
        <v>SHC of Hart County Rehab &amp; Wellness Center</v>
      </c>
      <c r="D377" s="3" t="str">
        <f t="shared" si="122"/>
        <v>T_BAD_DEBT - Tenant Bad Debt Expense</v>
      </c>
      <c r="E377"/>
      <c r="F377" s="24" t="str">
        <f>_xll.EVDES(D377)</f>
        <v>Tenant Bad Debt Expense</v>
      </c>
      <c r="G377" s="19">
        <f ca="1">SUMIFS(OFFSET('BPC Data'!$F:$F,0,Summary!G$2),'BPC Data'!$E:$E,Summary!$D377,'BPC Data'!$B:$B,Summary!$C377)</f>
        <v>15000</v>
      </c>
      <c r="H377" s="183">
        <f ca="1">SUMIFS(OFFSET('BPC Data'!$F:$F,0,Summary!H$2),'BPC Data'!$E:$E,Summary!$D377,'BPC Data'!$B:$B,Summary!$C377)</f>
        <v>11384</v>
      </c>
      <c r="I377" s="19">
        <f ca="1">SUMIFS(OFFSET('BPC Data'!$F:$F,0,Summary!I$2),'BPC Data'!$E:$E,Summary!$D377,'BPC Data'!$B:$B,Summary!$C377)</f>
        <v>10000</v>
      </c>
      <c r="J377" s="183">
        <f ca="1">SUMIFS(OFFSET('BPC Data'!$F:$F,0,Summary!J$2),'BPC Data'!$E:$E,Summary!$D377,'BPC Data'!$B:$B,Summary!$C377)</f>
        <v>32012</v>
      </c>
      <c r="K377" s="19">
        <f ca="1">SUMIFS(OFFSET('BPC Data'!$F:$F,0,Summary!K$2),'BPC Data'!$E:$E,Summary!$D377,'BPC Data'!$B:$B,Summary!$C377)</f>
        <v>12500</v>
      </c>
      <c r="L377" s="183">
        <f ca="1">SUMIFS(OFFSET('BPC Data'!$F:$F,0,Summary!L$2),'BPC Data'!$E:$E,Summary!$D377,'BPC Data'!$B:$B,Summary!$C377)</f>
        <v>12500</v>
      </c>
      <c r="M377" s="19">
        <f ca="1">SUMIFS(OFFSET('BPC Data'!$F:$F,0,Summary!M$2),'BPC Data'!$E:$E,Summary!$D377,'BPC Data'!$B:$B,Summary!$C377)</f>
        <v>0</v>
      </c>
      <c r="N377" s="183">
        <f ca="1">SUMIFS(OFFSET('BPC Data'!$F:$F,0,Summary!N$2),'BPC Data'!$E:$E,Summary!$D377,'BPC Data'!$B:$B,Summary!$C377)</f>
        <v>8365</v>
      </c>
      <c r="O377" s="19">
        <f ca="1">SUMIFS(OFFSET('BPC Data'!$F:$F,0,Summary!O$2),'BPC Data'!$E:$E,Summary!$D377,'BPC Data'!$B:$B,Summary!$C377)</f>
        <v>5000</v>
      </c>
      <c r="P377" s="183">
        <f ca="1">SUMIFS(OFFSET('BPC Data'!$F:$F,0,Summary!P$2),'BPC Data'!$E:$E,Summary!$D377,'BPC Data'!$B:$B,Summary!$C377)</f>
        <v>2500</v>
      </c>
      <c r="Q377" s="19">
        <f ca="1">SUMIFS(OFFSET('BPC Data'!$F:$F,0,Summary!Q$2),'BPC Data'!$E:$E,Summary!$D377,'BPC Data'!$B:$B,Summary!$C377)</f>
        <v>7500</v>
      </c>
      <c r="R377" s="183">
        <f ca="1">SUMIFS(OFFSET('BPC Data'!$F:$F,0,Summary!R$2),'BPC Data'!$E:$E,Summary!$D377,'BPC Data'!$B:$B,Summary!$C377)</f>
        <v>5000</v>
      </c>
      <c r="S377" s="187">
        <f t="shared" ca="1" si="118"/>
        <v>121761</v>
      </c>
      <c r="T377" s="181"/>
    </row>
    <row r="378" spans="1:20" s="17" customFormat="1" outlineLevel="1" x14ac:dyDescent="0.25">
      <c r="A378" s="17">
        <f t="shared" si="131"/>
        <v>34</v>
      </c>
      <c r="B378"/>
      <c r="C378" t="str">
        <f>$F372</f>
        <v>SHC of Hart County Rehab &amp; Wellness Center</v>
      </c>
      <c r="D378" s="2" t="str">
        <f t="shared" si="122"/>
        <v>T_EBITDARM - EBITDARM</v>
      </c>
      <c r="E378"/>
      <c r="F378" s="24" t="str">
        <f>_xll.EVDES(D378)</f>
        <v>EBITDARM</v>
      </c>
      <c r="G378" s="19">
        <f ca="1">SUMIFS(OFFSET('BPC Data'!$F:$F,0,Summary!G$2),'BPC Data'!$E:$E,Summary!$D378,'BPC Data'!$B:$B,Summary!$C378)</f>
        <v>110202</v>
      </c>
      <c r="H378" s="183">
        <f ca="1">SUMIFS(OFFSET('BPC Data'!$F:$F,0,Summary!H$2),'BPC Data'!$E:$E,Summary!$D378,'BPC Data'!$B:$B,Summary!$C378)</f>
        <v>121943</v>
      </c>
      <c r="I378" s="19">
        <f ca="1">SUMIFS(OFFSET('BPC Data'!$F:$F,0,Summary!I$2),'BPC Data'!$E:$E,Summary!$D378,'BPC Data'!$B:$B,Summary!$C378)</f>
        <v>113035</v>
      </c>
      <c r="J378" s="183">
        <f ca="1">SUMIFS(OFFSET('BPC Data'!$F:$F,0,Summary!J$2),'BPC Data'!$E:$E,Summary!$D378,'BPC Data'!$B:$B,Summary!$C378)</f>
        <v>40944</v>
      </c>
      <c r="K378" s="19">
        <f ca="1">SUMIFS(OFFSET('BPC Data'!$F:$F,0,Summary!K$2),'BPC Data'!$E:$E,Summary!$D378,'BPC Data'!$B:$B,Summary!$C378)</f>
        <v>147141</v>
      </c>
      <c r="L378" s="183">
        <f ca="1">SUMIFS(OFFSET('BPC Data'!$F:$F,0,Summary!L$2),'BPC Data'!$E:$E,Summary!$D378,'BPC Data'!$B:$B,Summary!$C378)</f>
        <v>130213</v>
      </c>
      <c r="M378" s="19">
        <f ca="1">SUMIFS(OFFSET('BPC Data'!$F:$F,0,Summary!M$2),'BPC Data'!$E:$E,Summary!$D378,'BPC Data'!$B:$B,Summary!$C378)</f>
        <v>252777</v>
      </c>
      <c r="N378" s="183">
        <f ca="1">SUMIFS(OFFSET('BPC Data'!$F:$F,0,Summary!N$2),'BPC Data'!$E:$E,Summary!$D378,'BPC Data'!$B:$B,Summary!$C378)</f>
        <v>197961</v>
      </c>
      <c r="O378" s="19">
        <f ca="1">SUMIFS(OFFSET('BPC Data'!$F:$F,0,Summary!O$2),'BPC Data'!$E:$E,Summary!$D378,'BPC Data'!$B:$B,Summary!$C378)</f>
        <v>205794</v>
      </c>
      <c r="P378" s="183">
        <f ca="1">SUMIFS(OFFSET('BPC Data'!$F:$F,0,Summary!P$2),'BPC Data'!$E:$E,Summary!$D378,'BPC Data'!$B:$B,Summary!$C378)</f>
        <v>172621</v>
      </c>
      <c r="Q378" s="19">
        <f ca="1">SUMIFS(OFFSET('BPC Data'!$F:$F,0,Summary!Q$2),'BPC Data'!$E:$E,Summary!$D378,'BPC Data'!$B:$B,Summary!$C378)</f>
        <v>227202</v>
      </c>
      <c r="R378" s="183">
        <f ca="1">SUMIFS(OFFSET('BPC Data'!$F:$F,0,Summary!R$2),'BPC Data'!$E:$E,Summary!$D378,'BPC Data'!$B:$B,Summary!$C378)</f>
        <v>191137</v>
      </c>
      <c r="S378" s="187">
        <f t="shared" ca="1" si="118"/>
        <v>1910970</v>
      </c>
      <c r="T378" s="181"/>
    </row>
    <row r="379" spans="1:20" s="17" customFormat="1" outlineLevel="1" x14ac:dyDescent="0.25">
      <c r="A379" s="17">
        <f t="shared" si="131"/>
        <v>34</v>
      </c>
      <c r="B379"/>
      <c r="C379" t="str">
        <f>$F372</f>
        <v>SHC of Hart County Rehab &amp; Wellness Center</v>
      </c>
      <c r="D379" s="2" t="str">
        <f t="shared" si="122"/>
        <v>T_MGMT_FEE - Tenant Management Fee - Actual</v>
      </c>
      <c r="E379"/>
      <c r="F379" s="24" t="str">
        <f>_xll.EVDES(D379)</f>
        <v>Tenant Management Fee - Actual</v>
      </c>
      <c r="G379" s="19">
        <f ca="1">SUMIFS(OFFSET('BPC Data'!$F:$F,0,Summary!G$2),'BPC Data'!$E:$E,Summary!$D379,'BPC Data'!$B:$B,Summary!$C379)</f>
        <v>34331</v>
      </c>
      <c r="H379" s="183">
        <f ca="1">SUMIFS(OFFSET('BPC Data'!$F:$F,0,Summary!H$2),'BPC Data'!$E:$E,Summary!$D379,'BPC Data'!$B:$B,Summary!$C379)</f>
        <v>34359</v>
      </c>
      <c r="I379" s="19">
        <f ca="1">SUMIFS(OFFSET('BPC Data'!$F:$F,0,Summary!I$2),'BPC Data'!$E:$E,Summary!$D379,'BPC Data'!$B:$B,Summary!$C379)</f>
        <v>33221</v>
      </c>
      <c r="J379" s="183">
        <f ca="1">SUMIFS(OFFSET('BPC Data'!$F:$F,0,Summary!J$2),'BPC Data'!$E:$E,Summary!$D379,'BPC Data'!$B:$B,Summary!$C379)</f>
        <v>40105</v>
      </c>
      <c r="K379" s="19">
        <f ca="1">SUMIFS(OFFSET('BPC Data'!$F:$F,0,Summary!K$2),'BPC Data'!$E:$E,Summary!$D379,'BPC Data'!$B:$B,Summary!$C379)</f>
        <v>36512</v>
      </c>
      <c r="L379" s="183">
        <f ca="1">SUMIFS(OFFSET('BPC Data'!$F:$F,0,Summary!L$2),'BPC Data'!$E:$E,Summary!$D379,'BPC Data'!$B:$B,Summary!$C379)</f>
        <v>32145</v>
      </c>
      <c r="M379" s="19">
        <f ca="1">SUMIFS(OFFSET('BPC Data'!$F:$F,0,Summary!M$2),'BPC Data'!$E:$E,Summary!$D379,'BPC Data'!$B:$B,Summary!$C379)</f>
        <v>41809</v>
      </c>
      <c r="N379" s="183">
        <f ca="1">SUMIFS(OFFSET('BPC Data'!$F:$F,0,Summary!N$2),'BPC Data'!$E:$E,Summary!$D379,'BPC Data'!$B:$B,Summary!$C379)</f>
        <v>35900</v>
      </c>
      <c r="O379" s="19">
        <f ca="1">SUMIFS(OFFSET('BPC Data'!$F:$F,0,Summary!O$2),'BPC Data'!$E:$E,Summary!$D379,'BPC Data'!$B:$B,Summary!$C379)</f>
        <v>38217</v>
      </c>
      <c r="P379" s="183">
        <f ca="1">SUMIFS(OFFSET('BPC Data'!$F:$F,0,Summary!P$2),'BPC Data'!$E:$E,Summary!$D379,'BPC Data'!$B:$B,Summary!$C379)</f>
        <v>34848</v>
      </c>
      <c r="Q379" s="19">
        <f ca="1">SUMIFS(OFFSET('BPC Data'!$F:$F,0,Summary!Q$2),'BPC Data'!$E:$E,Summary!$D379,'BPC Data'!$B:$B,Summary!$C379)</f>
        <v>38736</v>
      </c>
      <c r="R379" s="183">
        <f ca="1">SUMIFS(OFFSET('BPC Data'!$F:$F,0,Summary!R$2),'BPC Data'!$E:$E,Summary!$D379,'BPC Data'!$B:$B,Summary!$C379)</f>
        <v>38016</v>
      </c>
      <c r="S379" s="187">
        <f t="shared" ca="1" si="118"/>
        <v>438199</v>
      </c>
      <c r="T379" s="181"/>
    </row>
    <row r="380" spans="1:20" s="17" customFormat="1" outlineLevel="1" x14ac:dyDescent="0.25">
      <c r="A380" s="17">
        <f t="shared" si="131"/>
        <v>34</v>
      </c>
      <c r="B380"/>
      <c r="C380" t="str">
        <f>$F372</f>
        <v>SHC of Hart County Rehab &amp; Wellness Center</v>
      </c>
      <c r="D380" s="1" t="str">
        <f t="shared" si="122"/>
        <v>T_EBITDAR - EBITDAR</v>
      </c>
      <c r="E380"/>
      <c r="F380" s="24" t="str">
        <f>_xll.EVDES(D380)</f>
        <v>EBITDAR</v>
      </c>
      <c r="G380" s="19">
        <f ca="1">SUMIFS(OFFSET('BPC Data'!$F:$F,0,Summary!G$2),'BPC Data'!$E:$E,Summary!$D380,'BPC Data'!$B:$B,Summary!$C380)</f>
        <v>75871</v>
      </c>
      <c r="H380" s="183">
        <f ca="1">SUMIFS(OFFSET('BPC Data'!$F:$F,0,Summary!H$2),'BPC Data'!$E:$E,Summary!$D380,'BPC Data'!$B:$B,Summary!$C380)</f>
        <v>87584</v>
      </c>
      <c r="I380" s="19">
        <f ca="1">SUMIFS(OFFSET('BPC Data'!$F:$F,0,Summary!I$2),'BPC Data'!$E:$E,Summary!$D380,'BPC Data'!$B:$B,Summary!$C380)</f>
        <v>79814</v>
      </c>
      <c r="J380" s="183">
        <f ca="1">SUMIFS(OFFSET('BPC Data'!$F:$F,0,Summary!J$2),'BPC Data'!$E:$E,Summary!$D380,'BPC Data'!$B:$B,Summary!$C380)</f>
        <v>839</v>
      </c>
      <c r="K380" s="19">
        <f ca="1">SUMIFS(OFFSET('BPC Data'!$F:$F,0,Summary!K$2),'BPC Data'!$E:$E,Summary!$D380,'BPC Data'!$B:$B,Summary!$C380)</f>
        <v>110629</v>
      </c>
      <c r="L380" s="183">
        <f ca="1">SUMIFS(OFFSET('BPC Data'!$F:$F,0,Summary!L$2),'BPC Data'!$E:$E,Summary!$D380,'BPC Data'!$B:$B,Summary!$C380)</f>
        <v>98068</v>
      </c>
      <c r="M380" s="19">
        <f ca="1">SUMIFS(OFFSET('BPC Data'!$F:$F,0,Summary!M$2),'BPC Data'!$E:$E,Summary!$D380,'BPC Data'!$B:$B,Summary!$C380)</f>
        <v>210968</v>
      </c>
      <c r="N380" s="183">
        <f ca="1">SUMIFS(OFFSET('BPC Data'!$F:$F,0,Summary!N$2),'BPC Data'!$E:$E,Summary!$D380,'BPC Data'!$B:$B,Summary!$C380)</f>
        <v>162061</v>
      </c>
      <c r="O380" s="19">
        <f ca="1">SUMIFS(OFFSET('BPC Data'!$F:$F,0,Summary!O$2),'BPC Data'!$E:$E,Summary!$D380,'BPC Data'!$B:$B,Summary!$C380)</f>
        <v>167577</v>
      </c>
      <c r="P380" s="183">
        <f ca="1">SUMIFS(OFFSET('BPC Data'!$F:$F,0,Summary!P$2),'BPC Data'!$E:$E,Summary!$D380,'BPC Data'!$B:$B,Summary!$C380)</f>
        <v>137773</v>
      </c>
      <c r="Q380" s="19">
        <f ca="1">SUMIFS(OFFSET('BPC Data'!$F:$F,0,Summary!Q$2),'BPC Data'!$E:$E,Summary!$D380,'BPC Data'!$B:$B,Summary!$C380)</f>
        <v>188466</v>
      </c>
      <c r="R380" s="183">
        <f ca="1">SUMIFS(OFFSET('BPC Data'!$F:$F,0,Summary!R$2),'BPC Data'!$E:$E,Summary!$D380,'BPC Data'!$B:$B,Summary!$C380)</f>
        <v>153121</v>
      </c>
      <c r="S380" s="187">
        <f t="shared" ca="1" si="118"/>
        <v>1472771</v>
      </c>
      <c r="T380" s="181"/>
    </row>
    <row r="381" spans="1:20" s="17" customFormat="1" outlineLevel="1" x14ac:dyDescent="0.25">
      <c r="A381" s="17">
        <f t="shared" si="131"/>
        <v>34</v>
      </c>
      <c r="B381"/>
      <c r="C381" t="str">
        <f>$F372</f>
        <v>SHC of Hart County Rehab &amp; Wellness Center</v>
      </c>
      <c r="D381" s="1" t="str">
        <f t="shared" si="122"/>
        <v>T_RENT_EXP - Tenant Rent Expense</v>
      </c>
      <c r="E381"/>
      <c r="F381" s="24" t="str">
        <f>_xll.EVDES(D381)</f>
        <v>Tenant Rent Expense</v>
      </c>
      <c r="G381" s="19">
        <f ca="1">SUMIFS(OFFSET('BPC Data'!$F:$F,0,Summary!G$2),'BPC Data'!$E:$E,Summary!$D381,'BPC Data'!$B:$B,Summary!$C381)</f>
        <v>84361</v>
      </c>
      <c r="H381" s="183">
        <f ca="1">SUMIFS(OFFSET('BPC Data'!$F:$F,0,Summary!H$2),'BPC Data'!$E:$E,Summary!$D381,'BPC Data'!$B:$B,Summary!$C381)</f>
        <v>84361</v>
      </c>
      <c r="I381" s="19">
        <f ca="1">SUMIFS(OFFSET('BPC Data'!$F:$F,0,Summary!I$2),'BPC Data'!$E:$E,Summary!$D381,'BPC Data'!$B:$B,Summary!$C381)</f>
        <v>84361</v>
      </c>
      <c r="J381" s="183">
        <f ca="1">SUMIFS(OFFSET('BPC Data'!$F:$F,0,Summary!J$2),'BPC Data'!$E:$E,Summary!$D381,'BPC Data'!$B:$B,Summary!$C381)</f>
        <v>86470</v>
      </c>
      <c r="K381" s="19">
        <f ca="1">SUMIFS(OFFSET('BPC Data'!$F:$F,0,Summary!K$2),'BPC Data'!$E:$E,Summary!$D381,'BPC Data'!$B:$B,Summary!$C381)</f>
        <v>86470</v>
      </c>
      <c r="L381" s="183">
        <f ca="1">SUMIFS(OFFSET('BPC Data'!$F:$F,0,Summary!L$2),'BPC Data'!$E:$E,Summary!$D381,'BPC Data'!$B:$B,Summary!$C381)</f>
        <v>86470</v>
      </c>
      <c r="M381" s="19">
        <f ca="1">SUMIFS(OFFSET('BPC Data'!$F:$F,0,Summary!M$2),'BPC Data'!$E:$E,Summary!$D381,'BPC Data'!$B:$B,Summary!$C381)</f>
        <v>86470</v>
      </c>
      <c r="N381" s="183">
        <f ca="1">SUMIFS(OFFSET('BPC Data'!$F:$F,0,Summary!N$2),'BPC Data'!$E:$E,Summary!$D381,'BPC Data'!$B:$B,Summary!$C381)</f>
        <v>86470</v>
      </c>
      <c r="O381" s="19">
        <f ca="1">SUMIFS(OFFSET('BPC Data'!$F:$F,0,Summary!O$2),'BPC Data'!$E:$E,Summary!$D381,'BPC Data'!$B:$B,Summary!$C381)</f>
        <v>86470</v>
      </c>
      <c r="P381" s="183">
        <f ca="1">SUMIFS(OFFSET('BPC Data'!$F:$F,0,Summary!P$2),'BPC Data'!$E:$E,Summary!$D381,'BPC Data'!$B:$B,Summary!$C381)</f>
        <v>86470</v>
      </c>
      <c r="Q381" s="19">
        <f ca="1">SUMIFS(OFFSET('BPC Data'!$F:$F,0,Summary!Q$2),'BPC Data'!$E:$E,Summary!$D381,'BPC Data'!$B:$B,Summary!$C381)</f>
        <v>86470</v>
      </c>
      <c r="R381" s="183">
        <f ca="1">SUMIFS(OFFSET('BPC Data'!$F:$F,0,Summary!R$2),'BPC Data'!$E:$E,Summary!$D381,'BPC Data'!$B:$B,Summary!$C381)</f>
        <v>86470</v>
      </c>
      <c r="S381" s="187">
        <f t="shared" ca="1" si="118"/>
        <v>1031313</v>
      </c>
      <c r="T381" s="181"/>
    </row>
    <row r="382" spans="1:20" s="17" customFormat="1" outlineLevel="1" x14ac:dyDescent="0.25">
      <c r="A382" s="17">
        <f t="shared" si="131"/>
        <v>34</v>
      </c>
      <c r="B382"/>
      <c r="C382"/>
      <c r="D382" s="1" t="str">
        <f t="shared" si="122"/>
        <v>x</v>
      </c>
      <c r="E382"/>
      <c r="F382" s="24" t="s">
        <v>0</v>
      </c>
      <c r="G382" s="12">
        <f ca="1">G380/G381</f>
        <v>0.8993610791716552</v>
      </c>
      <c r="H382" s="184">
        <f t="shared" ref="H382:I382" ca="1" si="132">H380/H381</f>
        <v>1.0382048576949063</v>
      </c>
      <c r="I382" s="12">
        <f t="shared" ca="1" si="132"/>
        <v>0.94610068633610322</v>
      </c>
      <c r="J382" s="184">
        <f t="shared" ref="J382:R382" ca="1" si="133">J380/J381</f>
        <v>9.7027870937897529E-3</v>
      </c>
      <c r="K382" s="12">
        <f t="shared" ca="1" si="133"/>
        <v>1.2793916965421535</v>
      </c>
      <c r="L382" s="184">
        <f t="shared" ca="1" si="133"/>
        <v>1.1341274430438302</v>
      </c>
      <c r="M382" s="12">
        <f t="shared" ca="1" si="133"/>
        <v>2.4397825835549902</v>
      </c>
      <c r="N382" s="184">
        <f t="shared" ca="1" si="133"/>
        <v>1.8741875795073435</v>
      </c>
      <c r="O382" s="12">
        <f t="shared" ca="1" si="133"/>
        <v>1.9379784896495895</v>
      </c>
      <c r="P382" s="184">
        <f t="shared" ca="1" si="133"/>
        <v>1.5933040360818782</v>
      </c>
      <c r="Q382" s="12">
        <f t="shared" ca="1" si="133"/>
        <v>2.1795536024054587</v>
      </c>
      <c r="R382" s="184">
        <f t="shared" ca="1" si="133"/>
        <v>1.7707991210824563</v>
      </c>
      <c r="S382" s="187">
        <f t="shared" ca="1" si="118"/>
        <v>17.102493962164154</v>
      </c>
      <c r="T382" s="181"/>
    </row>
    <row r="383" spans="1:20" s="17" customFormat="1" outlineLevel="1" x14ac:dyDescent="0.25">
      <c r="A383" s="17">
        <f>IF(AND(D383&lt;&gt;"",C383=""),A382+1,A382)</f>
        <v>35</v>
      </c>
      <c r="B383" s="5"/>
      <c r="C383" s="5"/>
      <c r="D383" s="5" t="str">
        <f t="shared" si="122"/>
        <v>x</v>
      </c>
      <c r="E383" s="5"/>
      <c r="F383" s="23" t="str">
        <f>INDEX(PropertyList!$D:$D,MATCH(Summary!$A383,PropertyList!$C:$C,0))</f>
        <v>SHC at Heritage Hall Rehab &amp; Wellness Center</v>
      </c>
      <c r="G383" s="11"/>
      <c r="H383" s="182"/>
      <c r="I383" s="11"/>
      <c r="J383" s="182"/>
      <c r="K383" s="11"/>
      <c r="L383" s="182"/>
      <c r="M383" s="11"/>
      <c r="N383" s="182"/>
      <c r="O383" s="11"/>
      <c r="P383" s="182"/>
      <c r="Q383" s="11"/>
      <c r="R383" s="182"/>
      <c r="S383" s="187">
        <f t="shared" si="118"/>
        <v>0</v>
      </c>
      <c r="T383" s="181"/>
    </row>
    <row r="384" spans="1:20" s="17" customFormat="1" outlineLevel="1" x14ac:dyDescent="0.25">
      <c r="A384" s="17">
        <f>IF(AND(F384&lt;&gt;"",D384=""),A383+1,A383)</f>
        <v>35</v>
      </c>
      <c r="C384" t="str">
        <f>$F383</f>
        <v>SHC at Heritage Hall Rehab &amp; Wellness Center</v>
      </c>
      <c r="D384" s="3" t="str">
        <f t="shared" si="122"/>
        <v>PAY_PAT_DAYS - Total Payor Patient Days</v>
      </c>
      <c r="F384" s="24" t="str">
        <f>_xll.EVDES(D384)</f>
        <v>Total Payor Patient Days</v>
      </c>
      <c r="G384" s="19">
        <f ca="1">SUMIFS(OFFSET('BPC Data'!$F:$F,0,Summary!G$2),'BPC Data'!$E:$E,Summary!$D384,'BPC Data'!$B:$B,Summary!$C384)</f>
        <v>2296</v>
      </c>
      <c r="H384" s="183">
        <f ca="1">SUMIFS(OFFSET('BPC Data'!$F:$F,0,Summary!H$2),'BPC Data'!$E:$E,Summary!$D384,'BPC Data'!$B:$B,Summary!$C384)</f>
        <v>2475</v>
      </c>
      <c r="I384" s="19">
        <f ca="1">SUMIFS(OFFSET('BPC Data'!$F:$F,0,Summary!I$2),'BPC Data'!$E:$E,Summary!$D384,'BPC Data'!$B:$B,Summary!$C384)</f>
        <v>2331</v>
      </c>
      <c r="J384" s="183">
        <f ca="1">SUMIFS(OFFSET('BPC Data'!$F:$F,0,Summary!J$2),'BPC Data'!$E:$E,Summary!$D384,'BPC Data'!$B:$B,Summary!$C384)</f>
        <v>2050</v>
      </c>
      <c r="K384" s="19">
        <f ca="1">SUMIFS(OFFSET('BPC Data'!$F:$F,0,Summary!K$2),'BPC Data'!$E:$E,Summary!$D384,'BPC Data'!$B:$B,Summary!$C384)</f>
        <v>1888</v>
      </c>
      <c r="L384" s="183">
        <f ca="1">SUMIFS(OFFSET('BPC Data'!$F:$F,0,Summary!L$2),'BPC Data'!$E:$E,Summary!$D384,'BPC Data'!$B:$B,Summary!$C384)</f>
        <v>1965</v>
      </c>
      <c r="M384" s="19">
        <f ca="1">SUMIFS(OFFSET('BPC Data'!$F:$F,0,Summary!M$2),'BPC Data'!$E:$E,Summary!$D384,'BPC Data'!$B:$B,Summary!$C384)</f>
        <v>2473</v>
      </c>
      <c r="N384" s="183">
        <f ca="1">SUMIFS(OFFSET('BPC Data'!$F:$F,0,Summary!N$2),'BPC Data'!$E:$E,Summary!$D384,'BPC Data'!$B:$B,Summary!$C384)</f>
        <v>2465</v>
      </c>
      <c r="O384" s="19">
        <f ca="1">SUMIFS(OFFSET('BPC Data'!$F:$F,0,Summary!O$2),'BPC Data'!$E:$E,Summary!$D384,'BPC Data'!$B:$B,Summary!$C384)</f>
        <v>2527</v>
      </c>
      <c r="P384" s="183">
        <f ca="1">SUMIFS(OFFSET('BPC Data'!$F:$F,0,Summary!P$2),'BPC Data'!$E:$E,Summary!$D384,'BPC Data'!$B:$B,Summary!$C384)</f>
        <v>2565</v>
      </c>
      <c r="Q384" s="19">
        <f ca="1">SUMIFS(OFFSET('BPC Data'!$F:$F,0,Summary!Q$2),'BPC Data'!$E:$E,Summary!$D384,'BPC Data'!$B:$B,Summary!$C384)</f>
        <v>2673</v>
      </c>
      <c r="R384" s="183">
        <f ca="1">SUMIFS(OFFSET('BPC Data'!$F:$F,0,Summary!R$2),'BPC Data'!$E:$E,Summary!$D384,'BPC Data'!$B:$B,Summary!$C384)</f>
        <v>2727</v>
      </c>
      <c r="S384" s="187">
        <f t="shared" ca="1" si="118"/>
        <v>28435</v>
      </c>
      <c r="T384" s="181"/>
    </row>
    <row r="385" spans="1:20" s="17" customFormat="1" outlineLevel="1" x14ac:dyDescent="0.25">
      <c r="A385" s="17">
        <f t="shared" ref="A385:A393" si="134">IF(AND(F385&lt;&gt;"",D385=""),A384+1,A384)</f>
        <v>35</v>
      </c>
      <c r="C385" t="str">
        <f>$F383</f>
        <v>SHC at Heritage Hall Rehab &amp; Wellness Center</v>
      </c>
      <c r="D385" s="3" t="str">
        <f t="shared" si="122"/>
        <v>A_BEDS_TOTAL - Total Available Beds</v>
      </c>
      <c r="F385" s="24" t="str">
        <f>_xll.EVDES(D385)</f>
        <v>Total Available Beds</v>
      </c>
      <c r="G385" s="19">
        <f ca="1">SUMIFS(OFFSET('BPC Data'!$F:$F,0,Summary!G$2),'BPC Data'!$E:$E,Summary!$D385,'BPC Data'!$B:$B,Summary!$C385)</f>
        <v>94</v>
      </c>
      <c r="H385" s="183">
        <f ca="1">SUMIFS(OFFSET('BPC Data'!$F:$F,0,Summary!H$2),'BPC Data'!$E:$E,Summary!$D385,'BPC Data'!$B:$B,Summary!$C385)</f>
        <v>94</v>
      </c>
      <c r="I385" s="19">
        <f ca="1">SUMIFS(OFFSET('BPC Data'!$F:$F,0,Summary!I$2),'BPC Data'!$E:$E,Summary!$D385,'BPC Data'!$B:$B,Summary!$C385)</f>
        <v>94</v>
      </c>
      <c r="J385" s="183">
        <f ca="1">SUMIFS(OFFSET('BPC Data'!$F:$F,0,Summary!J$2),'BPC Data'!$E:$E,Summary!$D385,'BPC Data'!$B:$B,Summary!$C385)</f>
        <v>94</v>
      </c>
      <c r="K385" s="19">
        <f ca="1">SUMIFS(OFFSET('BPC Data'!$F:$F,0,Summary!K$2),'BPC Data'!$E:$E,Summary!$D385,'BPC Data'!$B:$B,Summary!$C385)</f>
        <v>94</v>
      </c>
      <c r="L385" s="183">
        <f ca="1">SUMIFS(OFFSET('BPC Data'!$F:$F,0,Summary!L$2),'BPC Data'!$E:$E,Summary!$D385,'BPC Data'!$B:$B,Summary!$C385)</f>
        <v>94</v>
      </c>
      <c r="M385" s="19">
        <f ca="1">SUMIFS(OFFSET('BPC Data'!$F:$F,0,Summary!M$2),'BPC Data'!$E:$E,Summary!$D385,'BPC Data'!$B:$B,Summary!$C385)</f>
        <v>94</v>
      </c>
      <c r="N385" s="183">
        <f ca="1">SUMIFS(OFFSET('BPC Data'!$F:$F,0,Summary!N$2),'BPC Data'!$E:$E,Summary!$D385,'BPC Data'!$B:$B,Summary!$C385)</f>
        <v>94</v>
      </c>
      <c r="O385" s="19">
        <f ca="1">SUMIFS(OFFSET('BPC Data'!$F:$F,0,Summary!O$2),'BPC Data'!$E:$E,Summary!$D385,'BPC Data'!$B:$B,Summary!$C385)</f>
        <v>94</v>
      </c>
      <c r="P385" s="183">
        <f ca="1">SUMIFS(OFFSET('BPC Data'!$F:$F,0,Summary!P$2),'BPC Data'!$E:$E,Summary!$D385,'BPC Data'!$B:$B,Summary!$C385)</f>
        <v>94</v>
      </c>
      <c r="Q385" s="19">
        <f ca="1">SUMIFS(OFFSET('BPC Data'!$F:$F,0,Summary!Q$2),'BPC Data'!$E:$E,Summary!$D385,'BPC Data'!$B:$B,Summary!$C385)</f>
        <v>94</v>
      </c>
      <c r="R385" s="183">
        <f ca="1">SUMIFS(OFFSET('BPC Data'!$F:$F,0,Summary!R$2),'BPC Data'!$E:$E,Summary!$D385,'BPC Data'!$B:$B,Summary!$C385)</f>
        <v>94</v>
      </c>
      <c r="S385" s="187">
        <f ca="1">R385</f>
        <v>94</v>
      </c>
      <c r="T385" s="181"/>
    </row>
    <row r="386" spans="1:20" s="17" customFormat="1" outlineLevel="1" x14ac:dyDescent="0.25">
      <c r="A386" s="17">
        <f t="shared" si="134"/>
        <v>35</v>
      </c>
      <c r="B386"/>
      <c r="C386" t="str">
        <f>$F383</f>
        <v>SHC at Heritage Hall Rehab &amp; Wellness Center</v>
      </c>
      <c r="D386" s="3" t="str">
        <f t="shared" si="122"/>
        <v>T_REVENUES - Total Tenant Revenues</v>
      </c>
      <c r="E386"/>
      <c r="F386" s="24" t="str">
        <f>_xll.EVDES(D386)</f>
        <v>Total Tenant Revenues</v>
      </c>
      <c r="G386" s="19">
        <f ca="1">SUMIFS(OFFSET('BPC Data'!$F:$F,0,Summary!G$2),'BPC Data'!$E:$E,Summary!$D386,'BPC Data'!$B:$B,Summary!$C386)</f>
        <v>579848</v>
      </c>
      <c r="H386" s="183">
        <f ca="1">SUMIFS(OFFSET('BPC Data'!$F:$F,0,Summary!H$2),'BPC Data'!$E:$E,Summary!$D386,'BPC Data'!$B:$B,Summary!$C386)</f>
        <v>689439</v>
      </c>
      <c r="I386" s="19">
        <f ca="1">SUMIFS(OFFSET('BPC Data'!$F:$F,0,Summary!I$2),'BPC Data'!$E:$E,Summary!$D386,'BPC Data'!$B:$B,Summary!$C386)</f>
        <v>727278</v>
      </c>
      <c r="J386" s="183">
        <f ca="1">SUMIFS(OFFSET('BPC Data'!$F:$F,0,Summary!J$2),'BPC Data'!$E:$E,Summary!$D386,'BPC Data'!$B:$B,Summary!$C386)</f>
        <v>1020165</v>
      </c>
      <c r="K386" s="19">
        <f ca="1">SUMIFS(OFFSET('BPC Data'!$F:$F,0,Summary!K$2),'BPC Data'!$E:$E,Summary!$D386,'BPC Data'!$B:$B,Summary!$C386)</f>
        <v>572909</v>
      </c>
      <c r="L386" s="183">
        <f ca="1">SUMIFS(OFFSET('BPC Data'!$F:$F,0,Summary!L$2),'BPC Data'!$E:$E,Summary!$D386,'BPC Data'!$B:$B,Summary!$C386)</f>
        <v>556620</v>
      </c>
      <c r="M386" s="19">
        <f ca="1">SUMIFS(OFFSET('BPC Data'!$F:$F,0,Summary!M$2),'BPC Data'!$E:$E,Summary!$D386,'BPC Data'!$B:$B,Summary!$C386)</f>
        <v>749594</v>
      </c>
      <c r="N386" s="183">
        <f ca="1">SUMIFS(OFFSET('BPC Data'!$F:$F,0,Summary!N$2),'BPC Data'!$E:$E,Summary!$D386,'BPC Data'!$B:$B,Summary!$C386)</f>
        <v>635450</v>
      </c>
      <c r="O386" s="19">
        <f ca="1">SUMIFS(OFFSET('BPC Data'!$F:$F,0,Summary!O$2),'BPC Data'!$E:$E,Summary!$D386,'BPC Data'!$B:$B,Summary!$C386)</f>
        <v>709916</v>
      </c>
      <c r="P386" s="183">
        <f ca="1">SUMIFS(OFFSET('BPC Data'!$F:$F,0,Summary!P$2),'BPC Data'!$E:$E,Summary!$D386,'BPC Data'!$B:$B,Summary!$C386)</f>
        <v>763070</v>
      </c>
      <c r="Q386" s="19">
        <f ca="1">SUMIFS(OFFSET('BPC Data'!$F:$F,0,Summary!Q$2),'BPC Data'!$E:$E,Summary!$D386,'BPC Data'!$B:$B,Summary!$C386)</f>
        <v>742746</v>
      </c>
      <c r="R386" s="183">
        <f ca="1">SUMIFS(OFFSET('BPC Data'!$F:$F,0,Summary!R$2),'BPC Data'!$E:$E,Summary!$D386,'BPC Data'!$B:$B,Summary!$C386)</f>
        <v>734138</v>
      </c>
      <c r="S386" s="187">
        <f t="shared" ca="1" si="118"/>
        <v>8481173</v>
      </c>
      <c r="T386" s="181"/>
    </row>
    <row r="387" spans="1:20" s="17" customFormat="1" outlineLevel="1" x14ac:dyDescent="0.25">
      <c r="A387" s="17">
        <f t="shared" si="134"/>
        <v>35</v>
      </c>
      <c r="B387"/>
      <c r="C387" t="str">
        <f>$F383</f>
        <v>SHC at Heritage Hall Rehab &amp; Wellness Center</v>
      </c>
      <c r="D387" s="3" t="str">
        <f t="shared" si="122"/>
        <v>T_OPEX - Tenant Operating Expenses</v>
      </c>
      <c r="E387"/>
      <c r="F387" s="24" t="str">
        <f>_xll.EVDES(D387)</f>
        <v>Tenant Operating Expenses</v>
      </c>
      <c r="G387" s="19">
        <f ca="1">SUMIFS(OFFSET('BPC Data'!$F:$F,0,Summary!G$2),'BPC Data'!$E:$E,Summary!$D387,'BPC Data'!$B:$B,Summary!$C387)</f>
        <v>531392</v>
      </c>
      <c r="H387" s="183">
        <f ca="1">SUMIFS(OFFSET('BPC Data'!$F:$F,0,Summary!H$2),'BPC Data'!$E:$E,Summary!$D387,'BPC Data'!$B:$B,Summary!$C387)</f>
        <v>558642</v>
      </c>
      <c r="I387" s="19">
        <f ca="1">SUMIFS(OFFSET('BPC Data'!$F:$F,0,Summary!I$2),'BPC Data'!$E:$E,Summary!$D387,'BPC Data'!$B:$B,Summary!$C387)</f>
        <v>556098</v>
      </c>
      <c r="J387" s="183">
        <f ca="1">SUMIFS(OFFSET('BPC Data'!$F:$F,0,Summary!J$2),'BPC Data'!$E:$E,Summary!$D387,'BPC Data'!$B:$B,Summary!$C387)</f>
        <v>803684</v>
      </c>
      <c r="K387" s="19">
        <f ca="1">SUMIFS(OFFSET('BPC Data'!$F:$F,0,Summary!K$2),'BPC Data'!$E:$E,Summary!$D387,'BPC Data'!$B:$B,Summary!$C387)</f>
        <v>585181</v>
      </c>
      <c r="L387" s="183">
        <f ca="1">SUMIFS(OFFSET('BPC Data'!$F:$F,0,Summary!L$2),'BPC Data'!$E:$E,Summary!$D387,'BPC Data'!$B:$B,Summary!$C387)</f>
        <v>488549</v>
      </c>
      <c r="M387" s="19">
        <f ca="1">SUMIFS(OFFSET('BPC Data'!$F:$F,0,Summary!M$2),'BPC Data'!$E:$E,Summary!$D387,'BPC Data'!$B:$B,Summary!$C387)</f>
        <v>535750</v>
      </c>
      <c r="N387" s="183">
        <f ca="1">SUMIFS(OFFSET('BPC Data'!$F:$F,0,Summary!N$2),'BPC Data'!$E:$E,Summary!$D387,'BPC Data'!$B:$B,Summary!$C387)</f>
        <v>472531</v>
      </c>
      <c r="O387" s="19">
        <f ca="1">SUMIFS(OFFSET('BPC Data'!$F:$F,0,Summary!O$2),'BPC Data'!$E:$E,Summary!$D387,'BPC Data'!$B:$B,Summary!$C387)</f>
        <v>547343</v>
      </c>
      <c r="P387" s="183">
        <f ca="1">SUMIFS(OFFSET('BPC Data'!$F:$F,0,Summary!P$2),'BPC Data'!$E:$E,Summary!$D387,'BPC Data'!$B:$B,Summary!$C387)</f>
        <v>537465</v>
      </c>
      <c r="Q387" s="19">
        <f ca="1">SUMIFS(OFFSET('BPC Data'!$F:$F,0,Summary!Q$2),'BPC Data'!$E:$E,Summary!$D387,'BPC Data'!$B:$B,Summary!$C387)</f>
        <v>602515</v>
      </c>
      <c r="R387" s="183">
        <f ca="1">SUMIFS(OFFSET('BPC Data'!$F:$F,0,Summary!R$2),'BPC Data'!$E:$E,Summary!$D387,'BPC Data'!$B:$B,Summary!$C387)</f>
        <v>644103</v>
      </c>
      <c r="S387" s="187">
        <f t="shared" ca="1" si="118"/>
        <v>6863253</v>
      </c>
      <c r="T387" s="181"/>
    </row>
    <row r="388" spans="1:20" s="17" customFormat="1" outlineLevel="1" x14ac:dyDescent="0.25">
      <c r="A388" s="17">
        <f t="shared" si="134"/>
        <v>35</v>
      </c>
      <c r="B388"/>
      <c r="C388" t="str">
        <f>$F383</f>
        <v>SHC at Heritage Hall Rehab &amp; Wellness Center</v>
      </c>
      <c r="D388" s="3" t="str">
        <f t="shared" si="122"/>
        <v>T_BAD_DEBT - Tenant Bad Debt Expense</v>
      </c>
      <c r="E388"/>
      <c r="F388" s="24" t="str">
        <f>_xll.EVDES(D388)</f>
        <v>Tenant Bad Debt Expense</v>
      </c>
      <c r="G388" s="19">
        <f ca="1">SUMIFS(OFFSET('BPC Data'!$F:$F,0,Summary!G$2),'BPC Data'!$E:$E,Summary!$D388,'BPC Data'!$B:$B,Summary!$C388)</f>
        <v>7500</v>
      </c>
      <c r="H388" s="183">
        <f ca="1">SUMIFS(OFFSET('BPC Data'!$F:$F,0,Summary!H$2),'BPC Data'!$E:$E,Summary!$D388,'BPC Data'!$B:$B,Summary!$C388)</f>
        <v>6066</v>
      </c>
      <c r="I388" s="19">
        <f ca="1">SUMIFS(OFFSET('BPC Data'!$F:$F,0,Summary!I$2),'BPC Data'!$E:$E,Summary!$D388,'BPC Data'!$B:$B,Summary!$C388)</f>
        <v>7500</v>
      </c>
      <c r="J388" s="183">
        <f ca="1">SUMIFS(OFFSET('BPC Data'!$F:$F,0,Summary!J$2),'BPC Data'!$E:$E,Summary!$D388,'BPC Data'!$B:$B,Summary!$C388)</f>
        <v>28149</v>
      </c>
      <c r="K388" s="19">
        <f ca="1">SUMIFS(OFFSET('BPC Data'!$F:$F,0,Summary!K$2),'BPC Data'!$E:$E,Summary!$D388,'BPC Data'!$B:$B,Summary!$C388)</f>
        <v>7500</v>
      </c>
      <c r="L388" s="183">
        <f ca="1">SUMIFS(OFFSET('BPC Data'!$F:$F,0,Summary!L$2),'BPC Data'!$E:$E,Summary!$D388,'BPC Data'!$B:$B,Summary!$C388)</f>
        <v>7500</v>
      </c>
      <c r="M388" s="19">
        <f ca="1">SUMIFS(OFFSET('BPC Data'!$F:$F,0,Summary!M$2),'BPC Data'!$E:$E,Summary!$D388,'BPC Data'!$B:$B,Summary!$C388)</f>
        <v>0</v>
      </c>
      <c r="N388" s="183">
        <f ca="1">SUMIFS(OFFSET('BPC Data'!$F:$F,0,Summary!N$2),'BPC Data'!$E:$E,Summary!$D388,'BPC Data'!$B:$B,Summary!$C388)</f>
        <v>6318</v>
      </c>
      <c r="O388" s="19">
        <f ca="1">SUMIFS(OFFSET('BPC Data'!$F:$F,0,Summary!O$2),'BPC Data'!$E:$E,Summary!$D388,'BPC Data'!$B:$B,Summary!$C388)</f>
        <v>0</v>
      </c>
      <c r="P388" s="183">
        <f ca="1">SUMIFS(OFFSET('BPC Data'!$F:$F,0,Summary!P$2),'BPC Data'!$E:$E,Summary!$D388,'BPC Data'!$B:$B,Summary!$C388)</f>
        <v>7500</v>
      </c>
      <c r="Q388" s="19">
        <f ca="1">SUMIFS(OFFSET('BPC Data'!$F:$F,0,Summary!Q$2),'BPC Data'!$E:$E,Summary!$D388,'BPC Data'!$B:$B,Summary!$C388)</f>
        <v>15000</v>
      </c>
      <c r="R388" s="183">
        <f ca="1">SUMIFS(OFFSET('BPC Data'!$F:$F,0,Summary!R$2),'BPC Data'!$E:$E,Summary!$D388,'BPC Data'!$B:$B,Summary!$C388)</f>
        <v>15000</v>
      </c>
      <c r="S388" s="187">
        <f t="shared" ca="1" si="118"/>
        <v>108033</v>
      </c>
      <c r="T388" s="181"/>
    </row>
    <row r="389" spans="1:20" s="17" customFormat="1" outlineLevel="1" x14ac:dyDescent="0.25">
      <c r="A389" s="17">
        <f t="shared" si="134"/>
        <v>35</v>
      </c>
      <c r="B389"/>
      <c r="C389" t="str">
        <f>$F383</f>
        <v>SHC at Heritage Hall Rehab &amp; Wellness Center</v>
      </c>
      <c r="D389" s="2" t="str">
        <f t="shared" si="122"/>
        <v>T_EBITDARM - EBITDARM</v>
      </c>
      <c r="E389"/>
      <c r="F389" s="24" t="str">
        <f>_xll.EVDES(D389)</f>
        <v>EBITDARM</v>
      </c>
      <c r="G389" s="19">
        <f ca="1">SUMIFS(OFFSET('BPC Data'!$F:$F,0,Summary!G$2),'BPC Data'!$E:$E,Summary!$D389,'BPC Data'!$B:$B,Summary!$C389)</f>
        <v>48456</v>
      </c>
      <c r="H389" s="183">
        <f ca="1">SUMIFS(OFFSET('BPC Data'!$F:$F,0,Summary!H$2),'BPC Data'!$E:$E,Summary!$D389,'BPC Data'!$B:$B,Summary!$C389)</f>
        <v>130797</v>
      </c>
      <c r="I389" s="19">
        <f ca="1">SUMIFS(OFFSET('BPC Data'!$F:$F,0,Summary!I$2),'BPC Data'!$E:$E,Summary!$D389,'BPC Data'!$B:$B,Summary!$C389)</f>
        <v>171180</v>
      </c>
      <c r="J389" s="183">
        <f ca="1">SUMIFS(OFFSET('BPC Data'!$F:$F,0,Summary!J$2),'BPC Data'!$E:$E,Summary!$D389,'BPC Data'!$B:$B,Summary!$C389)</f>
        <v>216481</v>
      </c>
      <c r="K389" s="19">
        <f ca="1">SUMIFS(OFFSET('BPC Data'!$F:$F,0,Summary!K$2),'BPC Data'!$E:$E,Summary!$D389,'BPC Data'!$B:$B,Summary!$C389)</f>
        <v>-12272</v>
      </c>
      <c r="L389" s="183">
        <f ca="1">SUMIFS(OFFSET('BPC Data'!$F:$F,0,Summary!L$2),'BPC Data'!$E:$E,Summary!$D389,'BPC Data'!$B:$B,Summary!$C389)</f>
        <v>68071</v>
      </c>
      <c r="M389" s="19">
        <f ca="1">SUMIFS(OFFSET('BPC Data'!$F:$F,0,Summary!M$2),'BPC Data'!$E:$E,Summary!$D389,'BPC Data'!$B:$B,Summary!$C389)</f>
        <v>213844</v>
      </c>
      <c r="N389" s="183">
        <f ca="1">SUMIFS(OFFSET('BPC Data'!$F:$F,0,Summary!N$2),'BPC Data'!$E:$E,Summary!$D389,'BPC Data'!$B:$B,Summary!$C389)</f>
        <v>162919</v>
      </c>
      <c r="O389" s="19">
        <f ca="1">SUMIFS(OFFSET('BPC Data'!$F:$F,0,Summary!O$2),'BPC Data'!$E:$E,Summary!$D389,'BPC Data'!$B:$B,Summary!$C389)</f>
        <v>162573</v>
      </c>
      <c r="P389" s="183">
        <f ca="1">SUMIFS(OFFSET('BPC Data'!$F:$F,0,Summary!P$2),'BPC Data'!$E:$E,Summary!$D389,'BPC Data'!$B:$B,Summary!$C389)</f>
        <v>225605</v>
      </c>
      <c r="Q389" s="19">
        <f ca="1">SUMIFS(OFFSET('BPC Data'!$F:$F,0,Summary!Q$2),'BPC Data'!$E:$E,Summary!$D389,'BPC Data'!$B:$B,Summary!$C389)</f>
        <v>140231</v>
      </c>
      <c r="R389" s="183">
        <f ca="1">SUMIFS(OFFSET('BPC Data'!$F:$F,0,Summary!R$2),'BPC Data'!$E:$E,Summary!$D389,'BPC Data'!$B:$B,Summary!$C389)</f>
        <v>90035</v>
      </c>
      <c r="S389" s="187">
        <f t="shared" ca="1" si="118"/>
        <v>1617920</v>
      </c>
      <c r="T389" s="181"/>
    </row>
    <row r="390" spans="1:20" s="17" customFormat="1" outlineLevel="1" x14ac:dyDescent="0.25">
      <c r="A390" s="17">
        <f t="shared" si="134"/>
        <v>35</v>
      </c>
      <c r="B390"/>
      <c r="C390" t="str">
        <f>$F383</f>
        <v>SHC at Heritage Hall Rehab &amp; Wellness Center</v>
      </c>
      <c r="D390" s="2" t="str">
        <f t="shared" si="122"/>
        <v>T_MGMT_FEE - Tenant Management Fee - Actual</v>
      </c>
      <c r="E390"/>
      <c r="F390" s="24" t="str">
        <f>_xll.EVDES(D390)</f>
        <v>Tenant Management Fee - Actual</v>
      </c>
      <c r="G390" s="19">
        <f ca="1">SUMIFS(OFFSET('BPC Data'!$F:$F,0,Summary!G$2),'BPC Data'!$E:$E,Summary!$D390,'BPC Data'!$B:$B,Summary!$C390)</f>
        <v>29254</v>
      </c>
      <c r="H390" s="183">
        <f ca="1">SUMIFS(OFFSET('BPC Data'!$F:$F,0,Summary!H$2),'BPC Data'!$E:$E,Summary!$D390,'BPC Data'!$B:$B,Summary!$C390)</f>
        <v>34817</v>
      </c>
      <c r="I390" s="19">
        <f ca="1">SUMIFS(OFFSET('BPC Data'!$F:$F,0,Summary!I$2),'BPC Data'!$E:$E,Summary!$D390,'BPC Data'!$B:$B,Summary!$C390)</f>
        <v>36728</v>
      </c>
      <c r="J390" s="183">
        <f ca="1">SUMIFS(OFFSET('BPC Data'!$F:$F,0,Summary!J$2),'BPC Data'!$E:$E,Summary!$D390,'BPC Data'!$B:$B,Summary!$C390)</f>
        <v>51288</v>
      </c>
      <c r="K390" s="19">
        <f ca="1">SUMIFS(OFFSET('BPC Data'!$F:$F,0,Summary!K$2),'BPC Data'!$E:$E,Summary!$D390,'BPC Data'!$B:$B,Summary!$C390)</f>
        <v>28944</v>
      </c>
      <c r="L390" s="183">
        <f ca="1">SUMIFS(OFFSET('BPC Data'!$F:$F,0,Summary!L$2),'BPC Data'!$E:$E,Summary!$D390,'BPC Data'!$B:$B,Summary!$C390)</f>
        <v>28109</v>
      </c>
      <c r="M390" s="19">
        <f ca="1">SUMIFS(OFFSET('BPC Data'!$F:$F,0,Summary!M$2),'BPC Data'!$E:$E,Summary!$D390,'BPC Data'!$B:$B,Summary!$C390)</f>
        <v>37855</v>
      </c>
      <c r="N390" s="183">
        <f ca="1">SUMIFS(OFFSET('BPC Data'!$F:$F,0,Summary!N$2),'BPC Data'!$E:$E,Summary!$D390,'BPC Data'!$B:$B,Summary!$C390)</f>
        <v>32090</v>
      </c>
      <c r="O390" s="19">
        <f ca="1">SUMIFS(OFFSET('BPC Data'!$F:$F,0,Summary!O$2),'BPC Data'!$E:$E,Summary!$D390,'BPC Data'!$B:$B,Summary!$C390)</f>
        <v>35851</v>
      </c>
      <c r="P390" s="183">
        <f ca="1">SUMIFS(OFFSET('BPC Data'!$F:$F,0,Summary!P$2),'BPC Data'!$E:$E,Summary!$D390,'BPC Data'!$B:$B,Summary!$C390)</f>
        <v>38535</v>
      </c>
      <c r="Q390" s="19">
        <f ca="1">SUMIFS(OFFSET('BPC Data'!$F:$F,0,Summary!Q$2),'BPC Data'!$E:$E,Summary!$D390,'BPC Data'!$B:$B,Summary!$C390)</f>
        <v>37509</v>
      </c>
      <c r="R390" s="183">
        <f ca="1">SUMIFS(OFFSET('BPC Data'!$F:$F,0,Summary!R$2),'BPC Data'!$E:$E,Summary!$D390,'BPC Data'!$B:$B,Summary!$C390)</f>
        <v>37074</v>
      </c>
      <c r="S390" s="187">
        <f t="shared" ca="1" si="118"/>
        <v>428054</v>
      </c>
      <c r="T390" s="181"/>
    </row>
    <row r="391" spans="1:20" s="17" customFormat="1" outlineLevel="1" x14ac:dyDescent="0.25">
      <c r="A391" s="17">
        <f t="shared" si="134"/>
        <v>35</v>
      </c>
      <c r="B391"/>
      <c r="C391" t="str">
        <f>$F383</f>
        <v>SHC at Heritage Hall Rehab &amp; Wellness Center</v>
      </c>
      <c r="D391" s="1" t="str">
        <f t="shared" si="122"/>
        <v>T_EBITDAR - EBITDAR</v>
      </c>
      <c r="E391"/>
      <c r="F391" s="24" t="str">
        <f>_xll.EVDES(D391)</f>
        <v>EBITDAR</v>
      </c>
      <c r="G391" s="19">
        <f ca="1">SUMIFS(OFFSET('BPC Data'!$F:$F,0,Summary!G$2),'BPC Data'!$E:$E,Summary!$D391,'BPC Data'!$B:$B,Summary!$C391)</f>
        <v>19202</v>
      </c>
      <c r="H391" s="183">
        <f ca="1">SUMIFS(OFFSET('BPC Data'!$F:$F,0,Summary!H$2),'BPC Data'!$E:$E,Summary!$D391,'BPC Data'!$B:$B,Summary!$C391)</f>
        <v>95980</v>
      </c>
      <c r="I391" s="19">
        <f ca="1">SUMIFS(OFFSET('BPC Data'!$F:$F,0,Summary!I$2),'BPC Data'!$E:$E,Summary!$D391,'BPC Data'!$B:$B,Summary!$C391)</f>
        <v>134452</v>
      </c>
      <c r="J391" s="183">
        <f ca="1">SUMIFS(OFFSET('BPC Data'!$F:$F,0,Summary!J$2),'BPC Data'!$E:$E,Summary!$D391,'BPC Data'!$B:$B,Summary!$C391)</f>
        <v>165193</v>
      </c>
      <c r="K391" s="19">
        <f ca="1">SUMIFS(OFFSET('BPC Data'!$F:$F,0,Summary!K$2),'BPC Data'!$E:$E,Summary!$D391,'BPC Data'!$B:$B,Summary!$C391)</f>
        <v>-41216</v>
      </c>
      <c r="L391" s="183">
        <f ca="1">SUMIFS(OFFSET('BPC Data'!$F:$F,0,Summary!L$2),'BPC Data'!$E:$E,Summary!$D391,'BPC Data'!$B:$B,Summary!$C391)</f>
        <v>39962</v>
      </c>
      <c r="M391" s="19">
        <f ca="1">SUMIFS(OFFSET('BPC Data'!$F:$F,0,Summary!M$2),'BPC Data'!$E:$E,Summary!$D391,'BPC Data'!$B:$B,Summary!$C391)</f>
        <v>175989</v>
      </c>
      <c r="N391" s="183">
        <f ca="1">SUMIFS(OFFSET('BPC Data'!$F:$F,0,Summary!N$2),'BPC Data'!$E:$E,Summary!$D391,'BPC Data'!$B:$B,Summary!$C391)</f>
        <v>130829</v>
      </c>
      <c r="O391" s="19">
        <f ca="1">SUMIFS(OFFSET('BPC Data'!$F:$F,0,Summary!O$2),'BPC Data'!$E:$E,Summary!$D391,'BPC Data'!$B:$B,Summary!$C391)</f>
        <v>126722</v>
      </c>
      <c r="P391" s="183">
        <f ca="1">SUMIFS(OFFSET('BPC Data'!$F:$F,0,Summary!P$2),'BPC Data'!$E:$E,Summary!$D391,'BPC Data'!$B:$B,Summary!$C391)</f>
        <v>187070</v>
      </c>
      <c r="Q391" s="19">
        <f ca="1">SUMIFS(OFFSET('BPC Data'!$F:$F,0,Summary!Q$2),'BPC Data'!$E:$E,Summary!$D391,'BPC Data'!$B:$B,Summary!$C391)</f>
        <v>102722</v>
      </c>
      <c r="R391" s="183">
        <f ca="1">SUMIFS(OFFSET('BPC Data'!$F:$F,0,Summary!R$2),'BPC Data'!$E:$E,Summary!$D391,'BPC Data'!$B:$B,Summary!$C391)</f>
        <v>52961</v>
      </c>
      <c r="S391" s="187">
        <f t="shared" ca="1" si="118"/>
        <v>1189866</v>
      </c>
      <c r="T391" s="181"/>
    </row>
    <row r="392" spans="1:20" s="17" customFormat="1" outlineLevel="1" x14ac:dyDescent="0.25">
      <c r="A392" s="17">
        <f t="shared" si="134"/>
        <v>35</v>
      </c>
      <c r="B392"/>
      <c r="C392" t="str">
        <f>$F383</f>
        <v>SHC at Heritage Hall Rehab &amp; Wellness Center</v>
      </c>
      <c r="D392" s="1" t="str">
        <f t="shared" si="122"/>
        <v>T_RENT_EXP - Tenant Rent Expense</v>
      </c>
      <c r="E392"/>
      <c r="F392" s="24" t="str">
        <f>_xll.EVDES(D392)</f>
        <v>Tenant Rent Expense</v>
      </c>
      <c r="G392" s="19">
        <f ca="1">SUMIFS(OFFSET('BPC Data'!$F:$F,0,Summary!G$2),'BPC Data'!$E:$E,Summary!$D392,'BPC Data'!$B:$B,Summary!$C392)</f>
        <v>56423</v>
      </c>
      <c r="H392" s="183">
        <f ca="1">SUMIFS(OFFSET('BPC Data'!$F:$F,0,Summary!H$2),'BPC Data'!$E:$E,Summary!$D392,'BPC Data'!$B:$B,Summary!$C392)</f>
        <v>56423</v>
      </c>
      <c r="I392" s="19">
        <f ca="1">SUMIFS(OFFSET('BPC Data'!$F:$F,0,Summary!I$2),'BPC Data'!$E:$E,Summary!$D392,'BPC Data'!$B:$B,Summary!$C392)</f>
        <v>56423</v>
      </c>
      <c r="J392" s="183">
        <f ca="1">SUMIFS(OFFSET('BPC Data'!$F:$F,0,Summary!J$2),'BPC Data'!$E:$E,Summary!$D392,'BPC Data'!$B:$B,Summary!$C392)</f>
        <v>57834</v>
      </c>
      <c r="K392" s="19">
        <f ca="1">SUMIFS(OFFSET('BPC Data'!$F:$F,0,Summary!K$2),'BPC Data'!$E:$E,Summary!$D392,'BPC Data'!$B:$B,Summary!$C392)</f>
        <v>57834</v>
      </c>
      <c r="L392" s="183">
        <f ca="1">SUMIFS(OFFSET('BPC Data'!$F:$F,0,Summary!L$2),'BPC Data'!$E:$E,Summary!$D392,'BPC Data'!$B:$B,Summary!$C392)</f>
        <v>57834</v>
      </c>
      <c r="M392" s="19">
        <f ca="1">SUMIFS(OFFSET('BPC Data'!$F:$F,0,Summary!M$2),'BPC Data'!$E:$E,Summary!$D392,'BPC Data'!$B:$B,Summary!$C392)</f>
        <v>57834</v>
      </c>
      <c r="N392" s="183">
        <f ca="1">SUMIFS(OFFSET('BPC Data'!$F:$F,0,Summary!N$2),'BPC Data'!$E:$E,Summary!$D392,'BPC Data'!$B:$B,Summary!$C392)</f>
        <v>57834</v>
      </c>
      <c r="O392" s="19">
        <f ca="1">SUMIFS(OFFSET('BPC Data'!$F:$F,0,Summary!O$2),'BPC Data'!$E:$E,Summary!$D392,'BPC Data'!$B:$B,Summary!$C392)</f>
        <v>57834</v>
      </c>
      <c r="P392" s="183">
        <f ca="1">SUMIFS(OFFSET('BPC Data'!$F:$F,0,Summary!P$2),'BPC Data'!$E:$E,Summary!$D392,'BPC Data'!$B:$B,Summary!$C392)</f>
        <v>57834</v>
      </c>
      <c r="Q392" s="19">
        <f ca="1">SUMIFS(OFFSET('BPC Data'!$F:$F,0,Summary!Q$2),'BPC Data'!$E:$E,Summary!$D392,'BPC Data'!$B:$B,Summary!$C392)</f>
        <v>57834</v>
      </c>
      <c r="R392" s="183">
        <f ca="1">SUMIFS(OFFSET('BPC Data'!$F:$F,0,Summary!R$2),'BPC Data'!$E:$E,Summary!$D392,'BPC Data'!$B:$B,Summary!$C392)</f>
        <v>57834</v>
      </c>
      <c r="S392" s="187">
        <f t="shared" ca="1" si="118"/>
        <v>689775</v>
      </c>
      <c r="T392" s="181"/>
    </row>
    <row r="393" spans="1:20" s="17" customFormat="1" outlineLevel="1" x14ac:dyDescent="0.25">
      <c r="A393" s="17">
        <f t="shared" si="134"/>
        <v>35</v>
      </c>
      <c r="B393"/>
      <c r="C393"/>
      <c r="D393" s="1" t="str">
        <f t="shared" si="122"/>
        <v>x</v>
      </c>
      <c r="E393"/>
      <c r="F393" s="24" t="s">
        <v>0</v>
      </c>
      <c r="G393" s="12">
        <f ca="1">G391/G392</f>
        <v>0.34032220902823318</v>
      </c>
      <c r="H393" s="184">
        <f t="shared" ref="H393:I393" ca="1" si="135">H391/H392</f>
        <v>1.7010793470747745</v>
      </c>
      <c r="I393" s="12">
        <f t="shared" ca="1" si="135"/>
        <v>2.3829289474150612</v>
      </c>
      <c r="J393" s="184">
        <f t="shared" ref="J393:R393" ca="1" si="136">J391/J392</f>
        <v>2.8563301863955459</v>
      </c>
      <c r="K393" s="12">
        <f t="shared" ca="1" si="136"/>
        <v>-0.71266037279109173</v>
      </c>
      <c r="L393" s="184">
        <f t="shared" ca="1" si="136"/>
        <v>0.69097762561814846</v>
      </c>
      <c r="M393" s="12">
        <f t="shared" ca="1" si="136"/>
        <v>3.0430023861396411</v>
      </c>
      <c r="N393" s="184">
        <f t="shared" ca="1" si="136"/>
        <v>2.2621468340422588</v>
      </c>
      <c r="O393" s="12">
        <f t="shared" ca="1" si="136"/>
        <v>2.191133243420825</v>
      </c>
      <c r="P393" s="184">
        <f t="shared" ca="1" si="136"/>
        <v>3.2346024829684961</v>
      </c>
      <c r="Q393" s="12">
        <f t="shared" ca="1" si="136"/>
        <v>1.7761524362831553</v>
      </c>
      <c r="R393" s="184">
        <f t="shared" ca="1" si="136"/>
        <v>0.91574160528408899</v>
      </c>
      <c r="S393" s="187">
        <f t="shared" ca="1" si="118"/>
        <v>20.681756930879139</v>
      </c>
      <c r="T393" s="181"/>
    </row>
    <row r="394" spans="1:20" s="17" customFormat="1" outlineLevel="1" x14ac:dyDescent="0.25">
      <c r="A394" s="17">
        <f>IF(AND(D394&lt;&gt;"",C394=""),A393+1,A393)</f>
        <v>36</v>
      </c>
      <c r="B394" s="5"/>
      <c r="C394" s="5"/>
      <c r="D394" s="5" t="str">
        <f t="shared" si="122"/>
        <v>x</v>
      </c>
      <c r="E394" s="5"/>
      <c r="F394" s="23" t="str">
        <f>INDEX(PropertyList!$D:$D,MATCH(Summary!$A394,PropertyList!$C:$C,0))</f>
        <v>SHC at Jackson Manor Rehab &amp; Wellness Center</v>
      </c>
      <c r="G394" s="11"/>
      <c r="H394" s="182"/>
      <c r="I394" s="11"/>
      <c r="J394" s="182"/>
      <c r="K394" s="11"/>
      <c r="L394" s="182"/>
      <c r="M394" s="11"/>
      <c r="N394" s="182"/>
      <c r="O394" s="11"/>
      <c r="P394" s="182"/>
      <c r="Q394" s="11"/>
      <c r="R394" s="182"/>
      <c r="S394" s="187">
        <f t="shared" si="118"/>
        <v>0</v>
      </c>
      <c r="T394" s="181"/>
    </row>
    <row r="395" spans="1:20" s="17" customFormat="1" outlineLevel="1" x14ac:dyDescent="0.25">
      <c r="A395" s="17">
        <f>IF(AND(F395&lt;&gt;"",D395=""),A394+1,A394)</f>
        <v>36</v>
      </c>
      <c r="C395" t="str">
        <f>$F394</f>
        <v>SHC at Jackson Manor Rehab &amp; Wellness Center</v>
      </c>
      <c r="D395" s="3" t="str">
        <f t="shared" si="122"/>
        <v>PAY_PAT_DAYS - Total Payor Patient Days</v>
      </c>
      <c r="F395" s="24" t="str">
        <f>_xll.EVDES(D395)</f>
        <v>Total Payor Patient Days</v>
      </c>
      <c r="G395" s="19">
        <f ca="1">SUMIFS(OFFSET('BPC Data'!$F:$F,0,Summary!G$2),'BPC Data'!$E:$E,Summary!$D395,'BPC Data'!$B:$B,Summary!$C395)</f>
        <v>1248</v>
      </c>
      <c r="H395" s="183">
        <f ca="1">SUMIFS(OFFSET('BPC Data'!$F:$F,0,Summary!H$2),'BPC Data'!$E:$E,Summary!$D395,'BPC Data'!$B:$B,Summary!$C395)</f>
        <v>1267</v>
      </c>
      <c r="I395" s="19">
        <f ca="1">SUMIFS(OFFSET('BPC Data'!$F:$F,0,Summary!I$2),'BPC Data'!$E:$E,Summary!$D395,'BPC Data'!$B:$B,Summary!$C395)</f>
        <v>1375</v>
      </c>
      <c r="J395" s="183">
        <f ca="1">SUMIFS(OFFSET('BPC Data'!$F:$F,0,Summary!J$2),'BPC Data'!$E:$E,Summary!$D395,'BPC Data'!$B:$B,Summary!$C395)</f>
        <v>1425</v>
      </c>
      <c r="K395" s="19">
        <f ca="1">SUMIFS(OFFSET('BPC Data'!$F:$F,0,Summary!K$2),'BPC Data'!$E:$E,Summary!$D395,'BPC Data'!$B:$B,Summary!$C395)</f>
        <v>1433</v>
      </c>
      <c r="L395" s="183">
        <f ca="1">SUMIFS(OFFSET('BPC Data'!$F:$F,0,Summary!L$2),'BPC Data'!$E:$E,Summary!$D395,'BPC Data'!$B:$B,Summary!$C395)</f>
        <v>1210</v>
      </c>
      <c r="M395" s="19">
        <f ca="1">SUMIFS(OFFSET('BPC Data'!$F:$F,0,Summary!M$2),'BPC Data'!$E:$E,Summary!$D395,'BPC Data'!$B:$B,Summary!$C395)</f>
        <v>1310</v>
      </c>
      <c r="N395" s="183">
        <f ca="1">SUMIFS(OFFSET('BPC Data'!$F:$F,0,Summary!N$2),'BPC Data'!$E:$E,Summary!$D395,'BPC Data'!$B:$B,Summary!$C395)</f>
        <v>1261</v>
      </c>
      <c r="O395" s="19">
        <f ca="1">SUMIFS(OFFSET('BPC Data'!$F:$F,0,Summary!O$2),'BPC Data'!$E:$E,Summary!$D395,'BPC Data'!$B:$B,Summary!$C395)</f>
        <v>1346</v>
      </c>
      <c r="P395" s="183">
        <f ca="1">SUMIFS(OFFSET('BPC Data'!$F:$F,0,Summary!P$2),'BPC Data'!$E:$E,Summary!$D395,'BPC Data'!$B:$B,Summary!$C395)</f>
        <v>1330</v>
      </c>
      <c r="Q395" s="19">
        <f ca="1">SUMIFS(OFFSET('BPC Data'!$F:$F,0,Summary!Q$2),'BPC Data'!$E:$E,Summary!$D395,'BPC Data'!$B:$B,Summary!$C395)</f>
        <v>1270</v>
      </c>
      <c r="R395" s="183">
        <f ca="1">SUMIFS(OFFSET('BPC Data'!$F:$F,0,Summary!R$2),'BPC Data'!$E:$E,Summary!$D395,'BPC Data'!$B:$B,Summary!$C395)</f>
        <v>1165</v>
      </c>
      <c r="S395" s="187">
        <f t="shared" ref="S395:S458" ca="1" si="137">SUM(G395:R395)</f>
        <v>15640</v>
      </c>
      <c r="T395" s="181"/>
    </row>
    <row r="396" spans="1:20" s="17" customFormat="1" outlineLevel="1" x14ac:dyDescent="0.25">
      <c r="A396" s="17">
        <f t="shared" ref="A396:A404" si="138">IF(AND(F396&lt;&gt;"",D396=""),A395+1,A395)</f>
        <v>36</v>
      </c>
      <c r="C396" t="str">
        <f>$F394</f>
        <v>SHC at Jackson Manor Rehab &amp; Wellness Center</v>
      </c>
      <c r="D396" s="3" t="str">
        <f t="shared" si="122"/>
        <v>A_BEDS_TOTAL - Total Available Beds</v>
      </c>
      <c r="F396" s="24" t="str">
        <f>_xll.EVDES(D396)</f>
        <v>Total Available Beds</v>
      </c>
      <c r="G396" s="19">
        <f ca="1">SUMIFS(OFFSET('BPC Data'!$F:$F,0,Summary!G$2),'BPC Data'!$E:$E,Summary!$D396,'BPC Data'!$B:$B,Summary!$C396)</f>
        <v>51</v>
      </c>
      <c r="H396" s="183">
        <f ca="1">SUMIFS(OFFSET('BPC Data'!$F:$F,0,Summary!H$2),'BPC Data'!$E:$E,Summary!$D396,'BPC Data'!$B:$B,Summary!$C396)</f>
        <v>51</v>
      </c>
      <c r="I396" s="19">
        <f ca="1">SUMIFS(OFFSET('BPC Data'!$F:$F,0,Summary!I$2),'BPC Data'!$E:$E,Summary!$D396,'BPC Data'!$B:$B,Summary!$C396)</f>
        <v>51</v>
      </c>
      <c r="J396" s="183">
        <f ca="1">SUMIFS(OFFSET('BPC Data'!$F:$F,0,Summary!J$2),'BPC Data'!$E:$E,Summary!$D396,'BPC Data'!$B:$B,Summary!$C396)</f>
        <v>51</v>
      </c>
      <c r="K396" s="19">
        <f ca="1">SUMIFS(OFFSET('BPC Data'!$F:$F,0,Summary!K$2),'BPC Data'!$E:$E,Summary!$D396,'BPC Data'!$B:$B,Summary!$C396)</f>
        <v>51</v>
      </c>
      <c r="L396" s="183">
        <f ca="1">SUMIFS(OFFSET('BPC Data'!$F:$F,0,Summary!L$2),'BPC Data'!$E:$E,Summary!$D396,'BPC Data'!$B:$B,Summary!$C396)</f>
        <v>51</v>
      </c>
      <c r="M396" s="19">
        <f ca="1">SUMIFS(OFFSET('BPC Data'!$F:$F,0,Summary!M$2),'BPC Data'!$E:$E,Summary!$D396,'BPC Data'!$B:$B,Summary!$C396)</f>
        <v>51</v>
      </c>
      <c r="N396" s="183">
        <f ca="1">SUMIFS(OFFSET('BPC Data'!$F:$F,0,Summary!N$2),'BPC Data'!$E:$E,Summary!$D396,'BPC Data'!$B:$B,Summary!$C396)</f>
        <v>51</v>
      </c>
      <c r="O396" s="19">
        <f ca="1">SUMIFS(OFFSET('BPC Data'!$F:$F,0,Summary!O$2),'BPC Data'!$E:$E,Summary!$D396,'BPC Data'!$B:$B,Summary!$C396)</f>
        <v>51</v>
      </c>
      <c r="P396" s="183">
        <f ca="1">SUMIFS(OFFSET('BPC Data'!$F:$F,0,Summary!P$2),'BPC Data'!$E:$E,Summary!$D396,'BPC Data'!$B:$B,Summary!$C396)</f>
        <v>51</v>
      </c>
      <c r="Q396" s="19">
        <f ca="1">SUMIFS(OFFSET('BPC Data'!$F:$F,0,Summary!Q$2),'BPC Data'!$E:$E,Summary!$D396,'BPC Data'!$B:$B,Summary!$C396)</f>
        <v>51</v>
      </c>
      <c r="R396" s="183">
        <f ca="1">SUMIFS(OFFSET('BPC Data'!$F:$F,0,Summary!R$2),'BPC Data'!$E:$E,Summary!$D396,'BPC Data'!$B:$B,Summary!$C396)</f>
        <v>51</v>
      </c>
      <c r="S396" s="187">
        <f ca="1">R396</f>
        <v>51</v>
      </c>
      <c r="T396" s="181"/>
    </row>
    <row r="397" spans="1:20" s="17" customFormat="1" outlineLevel="1" x14ac:dyDescent="0.25">
      <c r="A397" s="17">
        <f t="shared" si="138"/>
        <v>36</v>
      </c>
      <c r="B397"/>
      <c r="C397" t="str">
        <f>$F394</f>
        <v>SHC at Jackson Manor Rehab &amp; Wellness Center</v>
      </c>
      <c r="D397" s="3" t="str">
        <f t="shared" si="122"/>
        <v>T_REVENUES - Total Tenant Revenues</v>
      </c>
      <c r="E397"/>
      <c r="F397" s="24" t="str">
        <f>_xll.EVDES(D397)</f>
        <v>Total Tenant Revenues</v>
      </c>
      <c r="G397" s="19">
        <f ca="1">SUMIFS(OFFSET('BPC Data'!$F:$F,0,Summary!G$2),'BPC Data'!$E:$E,Summary!$D397,'BPC Data'!$B:$B,Summary!$C397)</f>
        <v>381705</v>
      </c>
      <c r="H397" s="183">
        <f ca="1">SUMIFS(OFFSET('BPC Data'!$F:$F,0,Summary!H$2),'BPC Data'!$E:$E,Summary!$D397,'BPC Data'!$B:$B,Summary!$C397)</f>
        <v>396773</v>
      </c>
      <c r="I397" s="19">
        <f ca="1">SUMIFS(OFFSET('BPC Data'!$F:$F,0,Summary!I$2),'BPC Data'!$E:$E,Summary!$D397,'BPC Data'!$B:$B,Summary!$C397)</f>
        <v>336917</v>
      </c>
      <c r="J397" s="183">
        <f ca="1">SUMIFS(OFFSET('BPC Data'!$F:$F,0,Summary!J$2),'BPC Data'!$E:$E,Summary!$D397,'BPC Data'!$B:$B,Summary!$C397)</f>
        <v>639490</v>
      </c>
      <c r="K397" s="19">
        <f ca="1">SUMIFS(OFFSET('BPC Data'!$F:$F,0,Summary!K$2),'BPC Data'!$E:$E,Summary!$D397,'BPC Data'!$B:$B,Summary!$C397)</f>
        <v>350938</v>
      </c>
      <c r="L397" s="183">
        <f ca="1">SUMIFS(OFFSET('BPC Data'!$F:$F,0,Summary!L$2),'BPC Data'!$E:$E,Summary!$D397,'BPC Data'!$B:$B,Summary!$C397)</f>
        <v>331158</v>
      </c>
      <c r="M397" s="19">
        <f ca="1">SUMIFS(OFFSET('BPC Data'!$F:$F,0,Summary!M$2),'BPC Data'!$E:$E,Summary!$D397,'BPC Data'!$B:$B,Summary!$C397)</f>
        <v>428998</v>
      </c>
      <c r="N397" s="183">
        <f ca="1">SUMIFS(OFFSET('BPC Data'!$F:$F,0,Summary!N$2),'BPC Data'!$E:$E,Summary!$D397,'BPC Data'!$B:$B,Summary!$C397)</f>
        <v>324824</v>
      </c>
      <c r="O397" s="19">
        <f ca="1">SUMIFS(OFFSET('BPC Data'!$F:$F,0,Summary!O$2),'BPC Data'!$E:$E,Summary!$D397,'BPC Data'!$B:$B,Summary!$C397)</f>
        <v>354066</v>
      </c>
      <c r="P397" s="183">
        <f ca="1">SUMIFS(OFFSET('BPC Data'!$F:$F,0,Summary!P$2),'BPC Data'!$E:$E,Summary!$D397,'BPC Data'!$B:$B,Summary!$C397)</f>
        <v>339097</v>
      </c>
      <c r="Q397" s="19">
        <f ca="1">SUMIFS(OFFSET('BPC Data'!$F:$F,0,Summary!Q$2),'BPC Data'!$E:$E,Summary!$D397,'BPC Data'!$B:$B,Summary!$C397)</f>
        <v>317991</v>
      </c>
      <c r="R397" s="183">
        <f ca="1">SUMIFS(OFFSET('BPC Data'!$F:$F,0,Summary!R$2),'BPC Data'!$E:$E,Summary!$D397,'BPC Data'!$B:$B,Summary!$C397)</f>
        <v>325557</v>
      </c>
      <c r="S397" s="187">
        <f t="shared" ca="1" si="137"/>
        <v>4527514</v>
      </c>
      <c r="T397" s="181"/>
    </row>
    <row r="398" spans="1:20" s="17" customFormat="1" outlineLevel="1" x14ac:dyDescent="0.25">
      <c r="A398" s="17">
        <f t="shared" si="138"/>
        <v>36</v>
      </c>
      <c r="B398"/>
      <c r="C398" t="str">
        <f>$F394</f>
        <v>SHC at Jackson Manor Rehab &amp; Wellness Center</v>
      </c>
      <c r="D398" s="3" t="str">
        <f t="shared" si="122"/>
        <v>T_OPEX - Tenant Operating Expenses</v>
      </c>
      <c r="E398"/>
      <c r="F398" s="24" t="str">
        <f>_xll.EVDES(D398)</f>
        <v>Tenant Operating Expenses</v>
      </c>
      <c r="G398" s="19">
        <f ca="1">SUMIFS(OFFSET('BPC Data'!$F:$F,0,Summary!G$2),'BPC Data'!$E:$E,Summary!$D398,'BPC Data'!$B:$B,Summary!$C398)</f>
        <v>342413</v>
      </c>
      <c r="H398" s="183">
        <f ca="1">SUMIFS(OFFSET('BPC Data'!$F:$F,0,Summary!H$2),'BPC Data'!$E:$E,Summary!$D398,'BPC Data'!$B:$B,Summary!$C398)</f>
        <v>661497</v>
      </c>
      <c r="I398" s="19">
        <f ca="1">SUMIFS(OFFSET('BPC Data'!$F:$F,0,Summary!I$2),'BPC Data'!$E:$E,Summary!$D398,'BPC Data'!$B:$B,Summary!$C398)</f>
        <v>376587</v>
      </c>
      <c r="J398" s="183">
        <f ca="1">SUMIFS(OFFSET('BPC Data'!$F:$F,0,Summary!J$2),'BPC Data'!$E:$E,Summary!$D398,'BPC Data'!$B:$B,Summary!$C398)</f>
        <v>520788</v>
      </c>
      <c r="K398" s="19">
        <f ca="1">SUMIFS(OFFSET('BPC Data'!$F:$F,0,Summary!K$2),'BPC Data'!$E:$E,Summary!$D398,'BPC Data'!$B:$B,Summary!$C398)</f>
        <v>352333</v>
      </c>
      <c r="L398" s="183">
        <f ca="1">SUMIFS(OFFSET('BPC Data'!$F:$F,0,Summary!L$2),'BPC Data'!$E:$E,Summary!$D398,'BPC Data'!$B:$B,Summary!$C398)</f>
        <v>335222</v>
      </c>
      <c r="M398" s="19">
        <f ca="1">SUMIFS(OFFSET('BPC Data'!$F:$F,0,Summary!M$2),'BPC Data'!$E:$E,Summary!$D398,'BPC Data'!$B:$B,Summary!$C398)</f>
        <v>363662</v>
      </c>
      <c r="N398" s="183">
        <f ca="1">SUMIFS(OFFSET('BPC Data'!$F:$F,0,Summary!N$2),'BPC Data'!$E:$E,Summary!$D398,'BPC Data'!$B:$B,Summary!$C398)</f>
        <v>386263</v>
      </c>
      <c r="O398" s="19">
        <f ca="1">SUMIFS(OFFSET('BPC Data'!$F:$F,0,Summary!O$2),'BPC Data'!$E:$E,Summary!$D398,'BPC Data'!$B:$B,Summary!$C398)</f>
        <v>367289</v>
      </c>
      <c r="P398" s="183">
        <f ca="1">SUMIFS(OFFSET('BPC Data'!$F:$F,0,Summary!P$2),'BPC Data'!$E:$E,Summary!$D398,'BPC Data'!$B:$B,Summary!$C398)</f>
        <v>362004</v>
      </c>
      <c r="Q398" s="19">
        <f ca="1">SUMIFS(OFFSET('BPC Data'!$F:$F,0,Summary!Q$2),'BPC Data'!$E:$E,Summary!$D398,'BPC Data'!$B:$B,Summary!$C398)</f>
        <v>338185</v>
      </c>
      <c r="R398" s="183">
        <f ca="1">SUMIFS(OFFSET('BPC Data'!$F:$F,0,Summary!R$2),'BPC Data'!$E:$E,Summary!$D398,'BPC Data'!$B:$B,Summary!$C398)</f>
        <v>346190</v>
      </c>
      <c r="S398" s="187">
        <f t="shared" ca="1" si="137"/>
        <v>4752433</v>
      </c>
      <c r="T398" s="181"/>
    </row>
    <row r="399" spans="1:20" s="17" customFormat="1" outlineLevel="1" x14ac:dyDescent="0.25">
      <c r="A399" s="17">
        <f t="shared" si="138"/>
        <v>36</v>
      </c>
      <c r="B399"/>
      <c r="C399" t="str">
        <f>$F394</f>
        <v>SHC at Jackson Manor Rehab &amp; Wellness Center</v>
      </c>
      <c r="D399" s="3" t="str">
        <f t="shared" si="122"/>
        <v>T_BAD_DEBT - Tenant Bad Debt Expense</v>
      </c>
      <c r="E399"/>
      <c r="F399" s="24" t="str">
        <f>_xll.EVDES(D399)</f>
        <v>Tenant Bad Debt Expense</v>
      </c>
      <c r="G399" s="19">
        <f ca="1">SUMIFS(OFFSET('BPC Data'!$F:$F,0,Summary!G$2),'BPC Data'!$E:$E,Summary!$D399,'BPC Data'!$B:$B,Summary!$C399)</f>
        <v>7500</v>
      </c>
      <c r="H399" s="183">
        <f ca="1">SUMIFS(OFFSET('BPC Data'!$F:$F,0,Summary!H$2),'BPC Data'!$E:$E,Summary!$D399,'BPC Data'!$B:$B,Summary!$C399)</f>
        <v>10657</v>
      </c>
      <c r="I399" s="19">
        <f ca="1">SUMIFS(OFFSET('BPC Data'!$F:$F,0,Summary!I$2),'BPC Data'!$E:$E,Summary!$D399,'BPC Data'!$B:$B,Summary!$C399)</f>
        <v>-5000</v>
      </c>
      <c r="J399" s="183">
        <f ca="1">SUMIFS(OFFSET('BPC Data'!$F:$F,0,Summary!J$2),'BPC Data'!$E:$E,Summary!$D399,'BPC Data'!$B:$B,Summary!$C399)</f>
        <v>4409</v>
      </c>
      <c r="K399" s="19">
        <f ca="1">SUMIFS(OFFSET('BPC Data'!$F:$F,0,Summary!K$2),'BPC Data'!$E:$E,Summary!$D399,'BPC Data'!$B:$B,Summary!$C399)</f>
        <v>10000</v>
      </c>
      <c r="L399" s="183">
        <f ca="1">SUMIFS(OFFSET('BPC Data'!$F:$F,0,Summary!L$2),'BPC Data'!$E:$E,Summary!$D399,'BPC Data'!$B:$B,Summary!$C399)</f>
        <v>15000</v>
      </c>
      <c r="M399" s="19">
        <f ca="1">SUMIFS(OFFSET('BPC Data'!$F:$F,0,Summary!M$2),'BPC Data'!$E:$E,Summary!$D399,'BPC Data'!$B:$B,Summary!$C399)</f>
        <v>6552</v>
      </c>
      <c r="N399" s="183">
        <f ca="1">SUMIFS(OFFSET('BPC Data'!$F:$F,0,Summary!N$2),'BPC Data'!$E:$E,Summary!$D399,'BPC Data'!$B:$B,Summary!$C399)</f>
        <v>18314</v>
      </c>
      <c r="O399" s="19">
        <f ca="1">SUMIFS(OFFSET('BPC Data'!$F:$F,0,Summary!O$2),'BPC Data'!$E:$E,Summary!$D399,'BPC Data'!$B:$B,Summary!$C399)</f>
        <v>11475</v>
      </c>
      <c r="P399" s="183">
        <f ca="1">SUMIFS(OFFSET('BPC Data'!$F:$F,0,Summary!P$2),'BPC Data'!$E:$E,Summary!$D399,'BPC Data'!$B:$B,Summary!$C399)</f>
        <v>5000</v>
      </c>
      <c r="Q399" s="19">
        <f ca="1">SUMIFS(OFFSET('BPC Data'!$F:$F,0,Summary!Q$2),'BPC Data'!$E:$E,Summary!$D399,'BPC Data'!$B:$B,Summary!$C399)</f>
        <v>5000</v>
      </c>
      <c r="R399" s="183">
        <f ca="1">SUMIFS(OFFSET('BPC Data'!$F:$F,0,Summary!R$2),'BPC Data'!$E:$E,Summary!$D399,'BPC Data'!$B:$B,Summary!$C399)</f>
        <v>5000</v>
      </c>
      <c r="S399" s="187">
        <f t="shared" ca="1" si="137"/>
        <v>93907</v>
      </c>
      <c r="T399" s="181"/>
    </row>
    <row r="400" spans="1:20" s="17" customFormat="1" outlineLevel="1" x14ac:dyDescent="0.25">
      <c r="A400" s="17">
        <f t="shared" si="138"/>
        <v>36</v>
      </c>
      <c r="B400"/>
      <c r="C400" t="str">
        <f>$F394</f>
        <v>SHC at Jackson Manor Rehab &amp; Wellness Center</v>
      </c>
      <c r="D400" s="2" t="str">
        <f t="shared" si="122"/>
        <v>T_EBITDARM - EBITDARM</v>
      </c>
      <c r="E400"/>
      <c r="F400" s="24" t="str">
        <f>_xll.EVDES(D400)</f>
        <v>EBITDARM</v>
      </c>
      <c r="G400" s="19">
        <f ca="1">SUMIFS(OFFSET('BPC Data'!$F:$F,0,Summary!G$2),'BPC Data'!$E:$E,Summary!$D400,'BPC Data'!$B:$B,Summary!$C400)</f>
        <v>39292</v>
      </c>
      <c r="H400" s="183">
        <f ca="1">SUMIFS(OFFSET('BPC Data'!$F:$F,0,Summary!H$2),'BPC Data'!$E:$E,Summary!$D400,'BPC Data'!$B:$B,Summary!$C400)</f>
        <v>-264724</v>
      </c>
      <c r="I400" s="19">
        <f ca="1">SUMIFS(OFFSET('BPC Data'!$F:$F,0,Summary!I$2),'BPC Data'!$E:$E,Summary!$D400,'BPC Data'!$B:$B,Summary!$C400)</f>
        <v>-39670</v>
      </c>
      <c r="J400" s="183">
        <f ca="1">SUMIFS(OFFSET('BPC Data'!$F:$F,0,Summary!J$2),'BPC Data'!$E:$E,Summary!$D400,'BPC Data'!$B:$B,Summary!$C400)</f>
        <v>118702</v>
      </c>
      <c r="K400" s="19">
        <f ca="1">SUMIFS(OFFSET('BPC Data'!$F:$F,0,Summary!K$2),'BPC Data'!$E:$E,Summary!$D400,'BPC Data'!$B:$B,Summary!$C400)</f>
        <v>-1395</v>
      </c>
      <c r="L400" s="183">
        <f ca="1">SUMIFS(OFFSET('BPC Data'!$F:$F,0,Summary!L$2),'BPC Data'!$E:$E,Summary!$D400,'BPC Data'!$B:$B,Summary!$C400)</f>
        <v>-4064</v>
      </c>
      <c r="M400" s="19">
        <f ca="1">SUMIFS(OFFSET('BPC Data'!$F:$F,0,Summary!M$2),'BPC Data'!$E:$E,Summary!$D400,'BPC Data'!$B:$B,Summary!$C400)</f>
        <v>65336</v>
      </c>
      <c r="N400" s="183">
        <f ca="1">SUMIFS(OFFSET('BPC Data'!$F:$F,0,Summary!N$2),'BPC Data'!$E:$E,Summary!$D400,'BPC Data'!$B:$B,Summary!$C400)</f>
        <v>-61439</v>
      </c>
      <c r="O400" s="19">
        <f ca="1">SUMIFS(OFFSET('BPC Data'!$F:$F,0,Summary!O$2),'BPC Data'!$E:$E,Summary!$D400,'BPC Data'!$B:$B,Summary!$C400)</f>
        <v>-13223</v>
      </c>
      <c r="P400" s="183">
        <f ca="1">SUMIFS(OFFSET('BPC Data'!$F:$F,0,Summary!P$2),'BPC Data'!$E:$E,Summary!$D400,'BPC Data'!$B:$B,Summary!$C400)</f>
        <v>-22907</v>
      </c>
      <c r="Q400" s="19">
        <f ca="1">SUMIFS(OFFSET('BPC Data'!$F:$F,0,Summary!Q$2),'BPC Data'!$E:$E,Summary!$D400,'BPC Data'!$B:$B,Summary!$C400)</f>
        <v>-20194</v>
      </c>
      <c r="R400" s="183">
        <f ca="1">SUMIFS(OFFSET('BPC Data'!$F:$F,0,Summary!R$2),'BPC Data'!$E:$E,Summary!$D400,'BPC Data'!$B:$B,Summary!$C400)</f>
        <v>-20633</v>
      </c>
      <c r="S400" s="187">
        <f t="shared" ca="1" si="137"/>
        <v>-224919</v>
      </c>
      <c r="T400" s="181"/>
    </row>
    <row r="401" spans="1:20" s="17" customFormat="1" outlineLevel="1" x14ac:dyDescent="0.25">
      <c r="A401" s="17">
        <f t="shared" si="138"/>
        <v>36</v>
      </c>
      <c r="B401"/>
      <c r="C401" t="str">
        <f>$F394</f>
        <v>SHC at Jackson Manor Rehab &amp; Wellness Center</v>
      </c>
      <c r="D401" s="2" t="str">
        <f t="shared" si="122"/>
        <v>T_MGMT_FEE - Tenant Management Fee - Actual</v>
      </c>
      <c r="E401"/>
      <c r="F401" s="24" t="str">
        <f>_xll.EVDES(D401)</f>
        <v>Tenant Management Fee - Actual</v>
      </c>
      <c r="G401" s="19">
        <f ca="1">SUMIFS(OFFSET('BPC Data'!$F:$F,0,Summary!G$2),'BPC Data'!$E:$E,Summary!$D401,'BPC Data'!$B:$B,Summary!$C401)</f>
        <v>18953</v>
      </c>
      <c r="H401" s="183">
        <f ca="1">SUMIFS(OFFSET('BPC Data'!$F:$F,0,Summary!H$2),'BPC Data'!$E:$E,Summary!$D401,'BPC Data'!$B:$B,Summary!$C401)</f>
        <v>20037</v>
      </c>
      <c r="I401" s="19">
        <f ca="1">SUMIFS(OFFSET('BPC Data'!$F:$F,0,Summary!I$2),'BPC Data'!$E:$E,Summary!$D401,'BPC Data'!$B:$B,Summary!$C401)</f>
        <v>17014</v>
      </c>
      <c r="J401" s="183">
        <f ca="1">SUMIFS(OFFSET('BPC Data'!$F:$F,0,Summary!J$2),'BPC Data'!$E:$E,Summary!$D401,'BPC Data'!$B:$B,Summary!$C401)</f>
        <v>36658</v>
      </c>
      <c r="K401" s="19">
        <f ca="1">SUMIFS(OFFSET('BPC Data'!$F:$F,0,Summary!K$2),'BPC Data'!$E:$E,Summary!$D401,'BPC Data'!$B:$B,Summary!$C401)</f>
        <v>17858</v>
      </c>
      <c r="L401" s="183">
        <f ca="1">SUMIFS(OFFSET('BPC Data'!$F:$F,0,Summary!L$2),'BPC Data'!$E:$E,Summary!$D401,'BPC Data'!$B:$B,Summary!$C401)</f>
        <v>16723</v>
      </c>
      <c r="M401" s="19">
        <f ca="1">SUMIFS(OFFSET('BPC Data'!$F:$F,0,Summary!M$2),'BPC Data'!$E:$E,Summary!$D401,'BPC Data'!$B:$B,Summary!$C401)</f>
        <v>21664</v>
      </c>
      <c r="N401" s="183">
        <f ca="1">SUMIFS(OFFSET('BPC Data'!$F:$F,0,Summary!N$2),'BPC Data'!$E:$E,Summary!$D401,'BPC Data'!$B:$B,Summary!$C401)</f>
        <v>16404</v>
      </c>
      <c r="O401" s="19">
        <f ca="1">SUMIFS(OFFSET('BPC Data'!$F:$F,0,Summary!O$2),'BPC Data'!$E:$E,Summary!$D401,'BPC Data'!$B:$B,Summary!$C401)</f>
        <v>17880</v>
      </c>
      <c r="P401" s="183">
        <f ca="1">SUMIFS(OFFSET('BPC Data'!$F:$F,0,Summary!P$2),'BPC Data'!$E:$E,Summary!$D401,'BPC Data'!$B:$B,Summary!$C401)</f>
        <v>17124</v>
      </c>
      <c r="Q401" s="19">
        <f ca="1">SUMIFS(OFFSET('BPC Data'!$F:$F,0,Summary!Q$2),'BPC Data'!$E:$E,Summary!$D401,'BPC Data'!$B:$B,Summary!$C401)</f>
        <v>16059</v>
      </c>
      <c r="R401" s="183">
        <f ca="1">SUMIFS(OFFSET('BPC Data'!$F:$F,0,Summary!R$2),'BPC Data'!$E:$E,Summary!$D401,'BPC Data'!$B:$B,Summary!$C401)</f>
        <v>16441</v>
      </c>
      <c r="S401" s="187">
        <f t="shared" ca="1" si="137"/>
        <v>232815</v>
      </c>
      <c r="T401" s="181"/>
    </row>
    <row r="402" spans="1:20" s="17" customFormat="1" outlineLevel="1" x14ac:dyDescent="0.25">
      <c r="A402" s="17">
        <f t="shared" si="138"/>
        <v>36</v>
      </c>
      <c r="B402"/>
      <c r="C402" t="str">
        <f>$F394</f>
        <v>SHC at Jackson Manor Rehab &amp; Wellness Center</v>
      </c>
      <c r="D402" s="1" t="str">
        <f t="shared" si="122"/>
        <v>T_EBITDAR - EBITDAR</v>
      </c>
      <c r="E402"/>
      <c r="F402" s="24" t="str">
        <f>_xll.EVDES(D402)</f>
        <v>EBITDAR</v>
      </c>
      <c r="G402" s="19">
        <f ca="1">SUMIFS(OFFSET('BPC Data'!$F:$F,0,Summary!G$2),'BPC Data'!$E:$E,Summary!$D402,'BPC Data'!$B:$B,Summary!$C402)</f>
        <v>20339</v>
      </c>
      <c r="H402" s="183">
        <f ca="1">SUMIFS(OFFSET('BPC Data'!$F:$F,0,Summary!H$2),'BPC Data'!$E:$E,Summary!$D402,'BPC Data'!$B:$B,Summary!$C402)</f>
        <v>-284761</v>
      </c>
      <c r="I402" s="19">
        <f ca="1">SUMIFS(OFFSET('BPC Data'!$F:$F,0,Summary!I$2),'BPC Data'!$E:$E,Summary!$D402,'BPC Data'!$B:$B,Summary!$C402)</f>
        <v>-56684</v>
      </c>
      <c r="J402" s="183">
        <f ca="1">SUMIFS(OFFSET('BPC Data'!$F:$F,0,Summary!J$2),'BPC Data'!$E:$E,Summary!$D402,'BPC Data'!$B:$B,Summary!$C402)</f>
        <v>82044</v>
      </c>
      <c r="K402" s="19">
        <f ca="1">SUMIFS(OFFSET('BPC Data'!$F:$F,0,Summary!K$2),'BPC Data'!$E:$E,Summary!$D402,'BPC Data'!$B:$B,Summary!$C402)</f>
        <v>-19253</v>
      </c>
      <c r="L402" s="183">
        <f ca="1">SUMIFS(OFFSET('BPC Data'!$F:$F,0,Summary!L$2),'BPC Data'!$E:$E,Summary!$D402,'BPC Data'!$B:$B,Summary!$C402)</f>
        <v>-20787</v>
      </c>
      <c r="M402" s="19">
        <f ca="1">SUMIFS(OFFSET('BPC Data'!$F:$F,0,Summary!M$2),'BPC Data'!$E:$E,Summary!$D402,'BPC Data'!$B:$B,Summary!$C402)</f>
        <v>43672</v>
      </c>
      <c r="N402" s="183">
        <f ca="1">SUMIFS(OFFSET('BPC Data'!$F:$F,0,Summary!N$2),'BPC Data'!$E:$E,Summary!$D402,'BPC Data'!$B:$B,Summary!$C402)</f>
        <v>-77843</v>
      </c>
      <c r="O402" s="19">
        <f ca="1">SUMIFS(OFFSET('BPC Data'!$F:$F,0,Summary!O$2),'BPC Data'!$E:$E,Summary!$D402,'BPC Data'!$B:$B,Summary!$C402)</f>
        <v>-31103</v>
      </c>
      <c r="P402" s="183">
        <f ca="1">SUMIFS(OFFSET('BPC Data'!$F:$F,0,Summary!P$2),'BPC Data'!$E:$E,Summary!$D402,'BPC Data'!$B:$B,Summary!$C402)</f>
        <v>-40031</v>
      </c>
      <c r="Q402" s="19">
        <f ca="1">SUMIFS(OFFSET('BPC Data'!$F:$F,0,Summary!Q$2),'BPC Data'!$E:$E,Summary!$D402,'BPC Data'!$B:$B,Summary!$C402)</f>
        <v>-36253</v>
      </c>
      <c r="R402" s="183">
        <f ca="1">SUMIFS(OFFSET('BPC Data'!$F:$F,0,Summary!R$2),'BPC Data'!$E:$E,Summary!$D402,'BPC Data'!$B:$B,Summary!$C402)</f>
        <v>-37074</v>
      </c>
      <c r="S402" s="187">
        <f t="shared" ca="1" si="137"/>
        <v>-457734</v>
      </c>
      <c r="T402" s="181"/>
    </row>
    <row r="403" spans="1:20" s="17" customFormat="1" outlineLevel="1" x14ac:dyDescent="0.25">
      <c r="A403" s="17">
        <f t="shared" si="138"/>
        <v>36</v>
      </c>
      <c r="B403"/>
      <c r="C403" t="str">
        <f>$F394</f>
        <v>SHC at Jackson Manor Rehab &amp; Wellness Center</v>
      </c>
      <c r="D403" s="1" t="str">
        <f t="shared" si="122"/>
        <v>T_RENT_EXP - Tenant Rent Expense</v>
      </c>
      <c r="E403"/>
      <c r="F403" s="24" t="str">
        <f>_xll.EVDES(D403)</f>
        <v>Tenant Rent Expense</v>
      </c>
      <c r="G403" s="19">
        <f ca="1">SUMIFS(OFFSET('BPC Data'!$F:$F,0,Summary!G$2),'BPC Data'!$E:$E,Summary!$D403,'BPC Data'!$B:$B,Summary!$C403)</f>
        <v>31070</v>
      </c>
      <c r="H403" s="183">
        <f ca="1">SUMIFS(OFFSET('BPC Data'!$F:$F,0,Summary!H$2),'BPC Data'!$E:$E,Summary!$D403,'BPC Data'!$B:$B,Summary!$C403)</f>
        <v>31070</v>
      </c>
      <c r="I403" s="19">
        <f ca="1">SUMIFS(OFFSET('BPC Data'!$F:$F,0,Summary!I$2),'BPC Data'!$E:$E,Summary!$D403,'BPC Data'!$B:$B,Summary!$C403)</f>
        <v>31070</v>
      </c>
      <c r="J403" s="183">
        <f ca="1">SUMIFS(OFFSET('BPC Data'!$F:$F,0,Summary!J$2),'BPC Data'!$E:$E,Summary!$D403,'BPC Data'!$B:$B,Summary!$C403)</f>
        <v>31846</v>
      </c>
      <c r="K403" s="19">
        <f ca="1">SUMIFS(OFFSET('BPC Data'!$F:$F,0,Summary!K$2),'BPC Data'!$E:$E,Summary!$D403,'BPC Data'!$B:$B,Summary!$C403)</f>
        <v>31846</v>
      </c>
      <c r="L403" s="183">
        <f ca="1">SUMIFS(OFFSET('BPC Data'!$F:$F,0,Summary!L$2),'BPC Data'!$E:$E,Summary!$D403,'BPC Data'!$B:$B,Summary!$C403)</f>
        <v>31846</v>
      </c>
      <c r="M403" s="19">
        <f ca="1">SUMIFS(OFFSET('BPC Data'!$F:$F,0,Summary!M$2),'BPC Data'!$E:$E,Summary!$D403,'BPC Data'!$B:$B,Summary!$C403)</f>
        <v>31846</v>
      </c>
      <c r="N403" s="183">
        <f ca="1">SUMIFS(OFFSET('BPC Data'!$F:$F,0,Summary!N$2),'BPC Data'!$E:$E,Summary!$D403,'BPC Data'!$B:$B,Summary!$C403)</f>
        <v>31846</v>
      </c>
      <c r="O403" s="19">
        <f ca="1">SUMIFS(OFFSET('BPC Data'!$F:$F,0,Summary!O$2),'BPC Data'!$E:$E,Summary!$D403,'BPC Data'!$B:$B,Summary!$C403)</f>
        <v>31846</v>
      </c>
      <c r="P403" s="183">
        <f ca="1">SUMIFS(OFFSET('BPC Data'!$F:$F,0,Summary!P$2),'BPC Data'!$E:$E,Summary!$D403,'BPC Data'!$B:$B,Summary!$C403)</f>
        <v>31846</v>
      </c>
      <c r="Q403" s="19">
        <f ca="1">SUMIFS(OFFSET('BPC Data'!$F:$F,0,Summary!Q$2),'BPC Data'!$E:$E,Summary!$D403,'BPC Data'!$B:$B,Summary!$C403)</f>
        <v>31846</v>
      </c>
      <c r="R403" s="183">
        <f ca="1">SUMIFS(OFFSET('BPC Data'!$F:$F,0,Summary!R$2),'BPC Data'!$E:$E,Summary!$D403,'BPC Data'!$B:$B,Summary!$C403)</f>
        <v>31846</v>
      </c>
      <c r="S403" s="187">
        <f t="shared" ca="1" si="137"/>
        <v>379824</v>
      </c>
      <c r="T403" s="181"/>
    </row>
    <row r="404" spans="1:20" s="17" customFormat="1" outlineLevel="1" x14ac:dyDescent="0.25">
      <c r="A404" s="17">
        <f t="shared" si="138"/>
        <v>36</v>
      </c>
      <c r="B404"/>
      <c r="C404"/>
      <c r="D404" s="1" t="str">
        <f t="shared" si="122"/>
        <v>x</v>
      </c>
      <c r="E404"/>
      <c r="F404" s="24" t="s">
        <v>0</v>
      </c>
      <c r="G404" s="12">
        <f ca="1">G402/G403</f>
        <v>0.65461860315416798</v>
      </c>
      <c r="H404" s="184">
        <f t="shared" ref="H404:I404" ca="1" si="139">H402/H403</f>
        <v>-9.1651432249758606</v>
      </c>
      <c r="I404" s="12">
        <f t="shared" ca="1" si="139"/>
        <v>-1.8243965239781139</v>
      </c>
      <c r="J404" s="184">
        <f t="shared" ref="J404:R404" ca="1" si="140">J402/J403</f>
        <v>2.5762733153300257</v>
      </c>
      <c r="K404" s="12">
        <f t="shared" ca="1" si="140"/>
        <v>-0.60456572253972241</v>
      </c>
      <c r="L404" s="184">
        <f t="shared" ca="1" si="140"/>
        <v>-0.6527350373673303</v>
      </c>
      <c r="M404" s="12">
        <f t="shared" ca="1" si="140"/>
        <v>1.3713496200464736</v>
      </c>
      <c r="N404" s="184">
        <f t="shared" ca="1" si="140"/>
        <v>-2.4443572191170007</v>
      </c>
      <c r="O404" s="12">
        <f t="shared" ca="1" si="140"/>
        <v>-0.97666896941531123</v>
      </c>
      <c r="P404" s="184">
        <f t="shared" ca="1" si="140"/>
        <v>-1.2570181498461346</v>
      </c>
      <c r="Q404" s="12">
        <f t="shared" ca="1" si="140"/>
        <v>-1.1383847264962632</v>
      </c>
      <c r="R404" s="184">
        <f t="shared" ca="1" si="140"/>
        <v>-1.1641650442755762</v>
      </c>
      <c r="S404" s="187">
        <f t="shared" ca="1" si="137"/>
        <v>-14.625193079480646</v>
      </c>
      <c r="T404" s="181"/>
    </row>
    <row r="405" spans="1:20" s="17" customFormat="1" outlineLevel="1" x14ac:dyDescent="0.25">
      <c r="A405" s="17">
        <f>IF(AND(D405&lt;&gt;"",C405=""),A404+1,A404)</f>
        <v>37</v>
      </c>
      <c r="B405" s="5"/>
      <c r="C405" s="5"/>
      <c r="D405" s="5" t="str">
        <f t="shared" si="122"/>
        <v>x</v>
      </c>
      <c r="E405" s="5"/>
      <c r="F405" s="23" t="str">
        <f>INDEX(PropertyList!$D:$D,MATCH(Summary!$A405,PropertyList!$C:$C,0))</f>
        <v>SHC at Jefferson Manor Rehab &amp; Wellness Center</v>
      </c>
      <c r="G405" s="11"/>
      <c r="H405" s="182"/>
      <c r="I405" s="11"/>
      <c r="J405" s="182"/>
      <c r="K405" s="11"/>
      <c r="L405" s="182"/>
      <c r="M405" s="11"/>
      <c r="N405" s="182"/>
      <c r="O405" s="11"/>
      <c r="P405" s="182"/>
      <c r="Q405" s="11"/>
      <c r="R405" s="182"/>
      <c r="S405" s="187">
        <f t="shared" si="137"/>
        <v>0</v>
      </c>
      <c r="T405" s="181"/>
    </row>
    <row r="406" spans="1:20" s="17" customFormat="1" outlineLevel="1" x14ac:dyDescent="0.25">
      <c r="A406" s="17">
        <f>IF(AND(F406&lt;&gt;"",D406=""),A405+1,A405)</f>
        <v>37</v>
      </c>
      <c r="C406" t="str">
        <f>$F405</f>
        <v>SHC at Jefferson Manor Rehab &amp; Wellness Center</v>
      </c>
      <c r="D406" s="3" t="str">
        <f t="shared" ref="D406:D469" si="141">$D395</f>
        <v>PAY_PAT_DAYS - Total Payor Patient Days</v>
      </c>
      <c r="F406" s="24" t="str">
        <f>_xll.EVDES(D406)</f>
        <v>Total Payor Patient Days</v>
      </c>
      <c r="G406" s="19">
        <f ca="1">SUMIFS(OFFSET('BPC Data'!$F:$F,0,Summary!G$2),'BPC Data'!$E:$E,Summary!$D406,'BPC Data'!$B:$B,Summary!$C406)</f>
        <v>2075</v>
      </c>
      <c r="H406" s="183">
        <f ca="1">SUMIFS(OFFSET('BPC Data'!$F:$F,0,Summary!H$2),'BPC Data'!$E:$E,Summary!$D406,'BPC Data'!$B:$B,Summary!$C406)</f>
        <v>1876</v>
      </c>
      <c r="I406" s="19">
        <f ca="1">SUMIFS(OFFSET('BPC Data'!$F:$F,0,Summary!I$2),'BPC Data'!$E:$E,Summary!$D406,'BPC Data'!$B:$B,Summary!$C406)</f>
        <v>1775</v>
      </c>
      <c r="J406" s="183">
        <f ca="1">SUMIFS(OFFSET('BPC Data'!$F:$F,0,Summary!J$2),'BPC Data'!$E:$E,Summary!$D406,'BPC Data'!$B:$B,Summary!$C406)</f>
        <v>1960</v>
      </c>
      <c r="K406" s="19">
        <f ca="1">SUMIFS(OFFSET('BPC Data'!$F:$F,0,Summary!K$2),'BPC Data'!$E:$E,Summary!$D406,'BPC Data'!$B:$B,Summary!$C406)</f>
        <v>2266</v>
      </c>
      <c r="L406" s="183">
        <f ca="1">SUMIFS(OFFSET('BPC Data'!$F:$F,0,Summary!L$2),'BPC Data'!$E:$E,Summary!$D406,'BPC Data'!$B:$B,Summary!$C406)</f>
        <v>1871</v>
      </c>
      <c r="M406" s="19">
        <f ca="1">SUMIFS(OFFSET('BPC Data'!$F:$F,0,Summary!M$2),'BPC Data'!$E:$E,Summary!$D406,'BPC Data'!$B:$B,Summary!$C406)</f>
        <v>2047</v>
      </c>
      <c r="N406" s="183">
        <f ca="1">SUMIFS(OFFSET('BPC Data'!$F:$F,0,Summary!N$2),'BPC Data'!$E:$E,Summary!$D406,'BPC Data'!$B:$B,Summary!$C406)</f>
        <v>1834</v>
      </c>
      <c r="O406" s="19">
        <f ca="1">SUMIFS(OFFSET('BPC Data'!$F:$F,0,Summary!O$2),'BPC Data'!$E:$E,Summary!$D406,'BPC Data'!$B:$B,Summary!$C406)</f>
        <v>1964</v>
      </c>
      <c r="P406" s="183">
        <f ca="1">SUMIFS(OFFSET('BPC Data'!$F:$F,0,Summary!P$2),'BPC Data'!$E:$E,Summary!$D406,'BPC Data'!$B:$B,Summary!$C406)</f>
        <v>1618</v>
      </c>
      <c r="Q406" s="19">
        <f ca="1">SUMIFS(OFFSET('BPC Data'!$F:$F,0,Summary!Q$2),'BPC Data'!$E:$E,Summary!$D406,'BPC Data'!$B:$B,Summary!$C406)</f>
        <v>1861</v>
      </c>
      <c r="R406" s="183">
        <f ca="1">SUMIFS(OFFSET('BPC Data'!$F:$F,0,Summary!R$2),'BPC Data'!$E:$E,Summary!$D406,'BPC Data'!$B:$B,Summary!$C406)</f>
        <v>2151</v>
      </c>
      <c r="S406" s="187">
        <f t="shared" ca="1" si="137"/>
        <v>23298</v>
      </c>
      <c r="T406" s="181"/>
    </row>
    <row r="407" spans="1:20" s="17" customFormat="1" outlineLevel="1" x14ac:dyDescent="0.25">
      <c r="A407" s="17">
        <f t="shared" ref="A407:A415" si="142">IF(AND(F407&lt;&gt;"",D407=""),A406+1,A406)</f>
        <v>37</v>
      </c>
      <c r="C407" t="str">
        <f>$F405</f>
        <v>SHC at Jefferson Manor Rehab &amp; Wellness Center</v>
      </c>
      <c r="D407" s="3" t="str">
        <f t="shared" si="141"/>
        <v>A_BEDS_TOTAL - Total Available Beds</v>
      </c>
      <c r="F407" s="24" t="str">
        <f>_xll.EVDES(D407)</f>
        <v>Total Available Beds</v>
      </c>
      <c r="G407" s="19">
        <f ca="1">SUMIFS(OFFSET('BPC Data'!$F:$F,0,Summary!G$2),'BPC Data'!$E:$E,Summary!$D407,'BPC Data'!$B:$B,Summary!$C407)</f>
        <v>100</v>
      </c>
      <c r="H407" s="183">
        <f ca="1">SUMIFS(OFFSET('BPC Data'!$F:$F,0,Summary!H$2),'BPC Data'!$E:$E,Summary!$D407,'BPC Data'!$B:$B,Summary!$C407)</f>
        <v>100</v>
      </c>
      <c r="I407" s="19">
        <f ca="1">SUMIFS(OFFSET('BPC Data'!$F:$F,0,Summary!I$2),'BPC Data'!$E:$E,Summary!$D407,'BPC Data'!$B:$B,Summary!$C407)</f>
        <v>100</v>
      </c>
      <c r="J407" s="183">
        <f ca="1">SUMIFS(OFFSET('BPC Data'!$F:$F,0,Summary!J$2),'BPC Data'!$E:$E,Summary!$D407,'BPC Data'!$B:$B,Summary!$C407)</f>
        <v>100</v>
      </c>
      <c r="K407" s="19">
        <f ca="1">SUMIFS(OFFSET('BPC Data'!$F:$F,0,Summary!K$2),'BPC Data'!$E:$E,Summary!$D407,'BPC Data'!$B:$B,Summary!$C407)</f>
        <v>100</v>
      </c>
      <c r="L407" s="183">
        <f ca="1">SUMIFS(OFFSET('BPC Data'!$F:$F,0,Summary!L$2),'BPC Data'!$E:$E,Summary!$D407,'BPC Data'!$B:$B,Summary!$C407)</f>
        <v>100</v>
      </c>
      <c r="M407" s="19">
        <f ca="1">SUMIFS(OFFSET('BPC Data'!$F:$F,0,Summary!M$2),'BPC Data'!$E:$E,Summary!$D407,'BPC Data'!$B:$B,Summary!$C407)</f>
        <v>100</v>
      </c>
      <c r="N407" s="183">
        <f ca="1">SUMIFS(OFFSET('BPC Data'!$F:$F,0,Summary!N$2),'BPC Data'!$E:$E,Summary!$D407,'BPC Data'!$B:$B,Summary!$C407)</f>
        <v>100</v>
      </c>
      <c r="O407" s="19">
        <f ca="1">SUMIFS(OFFSET('BPC Data'!$F:$F,0,Summary!O$2),'BPC Data'!$E:$E,Summary!$D407,'BPC Data'!$B:$B,Summary!$C407)</f>
        <v>100</v>
      </c>
      <c r="P407" s="183">
        <f ca="1">SUMIFS(OFFSET('BPC Data'!$F:$F,0,Summary!P$2),'BPC Data'!$E:$E,Summary!$D407,'BPC Data'!$B:$B,Summary!$C407)</f>
        <v>100</v>
      </c>
      <c r="Q407" s="19">
        <f ca="1">SUMIFS(OFFSET('BPC Data'!$F:$F,0,Summary!Q$2),'BPC Data'!$E:$E,Summary!$D407,'BPC Data'!$B:$B,Summary!$C407)</f>
        <v>100</v>
      </c>
      <c r="R407" s="183">
        <f ca="1">SUMIFS(OFFSET('BPC Data'!$F:$F,0,Summary!R$2),'BPC Data'!$E:$E,Summary!$D407,'BPC Data'!$B:$B,Summary!$C407)</f>
        <v>100</v>
      </c>
      <c r="S407" s="187">
        <f ca="1">R407</f>
        <v>100</v>
      </c>
      <c r="T407" s="181"/>
    </row>
    <row r="408" spans="1:20" s="17" customFormat="1" outlineLevel="1" x14ac:dyDescent="0.25">
      <c r="A408" s="17">
        <f t="shared" si="142"/>
        <v>37</v>
      </c>
      <c r="B408"/>
      <c r="C408" t="str">
        <f>$F405</f>
        <v>SHC at Jefferson Manor Rehab &amp; Wellness Center</v>
      </c>
      <c r="D408" s="3" t="str">
        <f t="shared" si="141"/>
        <v>T_REVENUES - Total Tenant Revenues</v>
      </c>
      <c r="E408"/>
      <c r="F408" s="24" t="str">
        <f>_xll.EVDES(D408)</f>
        <v>Total Tenant Revenues</v>
      </c>
      <c r="G408" s="19">
        <f ca="1">SUMIFS(OFFSET('BPC Data'!$F:$F,0,Summary!G$2),'BPC Data'!$E:$E,Summary!$D408,'BPC Data'!$B:$B,Summary!$C408)</f>
        <v>679401</v>
      </c>
      <c r="H408" s="183">
        <f ca="1">SUMIFS(OFFSET('BPC Data'!$F:$F,0,Summary!H$2),'BPC Data'!$E:$E,Summary!$D408,'BPC Data'!$B:$B,Summary!$C408)</f>
        <v>606049</v>
      </c>
      <c r="I408" s="19">
        <f ca="1">SUMIFS(OFFSET('BPC Data'!$F:$F,0,Summary!I$2),'BPC Data'!$E:$E,Summary!$D408,'BPC Data'!$B:$B,Summary!$C408)</f>
        <v>627060</v>
      </c>
      <c r="J408" s="183">
        <f ca="1">SUMIFS(OFFSET('BPC Data'!$F:$F,0,Summary!J$2),'BPC Data'!$E:$E,Summary!$D408,'BPC Data'!$B:$B,Summary!$C408)</f>
        <v>948607</v>
      </c>
      <c r="K408" s="19">
        <f ca="1">SUMIFS(OFFSET('BPC Data'!$F:$F,0,Summary!K$2),'BPC Data'!$E:$E,Summary!$D408,'BPC Data'!$B:$B,Summary!$C408)</f>
        <v>799408</v>
      </c>
      <c r="L408" s="183">
        <f ca="1">SUMIFS(OFFSET('BPC Data'!$F:$F,0,Summary!L$2),'BPC Data'!$E:$E,Summary!$D408,'BPC Data'!$B:$B,Summary!$C408)</f>
        <v>657496</v>
      </c>
      <c r="M408" s="19">
        <f ca="1">SUMIFS(OFFSET('BPC Data'!$F:$F,0,Summary!M$2),'BPC Data'!$E:$E,Summary!$D408,'BPC Data'!$B:$B,Summary!$C408)</f>
        <v>801031</v>
      </c>
      <c r="N408" s="183">
        <f ca="1">SUMIFS(OFFSET('BPC Data'!$F:$F,0,Summary!N$2),'BPC Data'!$E:$E,Summary!$D408,'BPC Data'!$B:$B,Summary!$C408)</f>
        <v>662228</v>
      </c>
      <c r="O408" s="19">
        <f ca="1">SUMIFS(OFFSET('BPC Data'!$F:$F,0,Summary!O$2),'BPC Data'!$E:$E,Summary!$D408,'BPC Data'!$B:$B,Summary!$C408)</f>
        <v>728998</v>
      </c>
      <c r="P408" s="183">
        <f ca="1">SUMIFS(OFFSET('BPC Data'!$F:$F,0,Summary!P$2),'BPC Data'!$E:$E,Summary!$D408,'BPC Data'!$B:$B,Summary!$C408)</f>
        <v>539247</v>
      </c>
      <c r="Q408" s="19">
        <f ca="1">SUMIFS(OFFSET('BPC Data'!$F:$F,0,Summary!Q$2),'BPC Data'!$E:$E,Summary!$D408,'BPC Data'!$B:$B,Summary!$C408)</f>
        <v>657931</v>
      </c>
      <c r="R408" s="183">
        <f ca="1">SUMIFS(OFFSET('BPC Data'!$F:$F,0,Summary!R$2),'BPC Data'!$E:$E,Summary!$D408,'BPC Data'!$B:$B,Summary!$C408)</f>
        <v>812017</v>
      </c>
      <c r="S408" s="187">
        <f t="shared" ca="1" si="137"/>
        <v>8519473</v>
      </c>
      <c r="T408" s="181"/>
    </row>
    <row r="409" spans="1:20" s="17" customFormat="1" outlineLevel="1" x14ac:dyDescent="0.25">
      <c r="A409" s="17">
        <f t="shared" si="142"/>
        <v>37</v>
      </c>
      <c r="B409"/>
      <c r="C409" t="str">
        <f>$F405</f>
        <v>SHC at Jefferson Manor Rehab &amp; Wellness Center</v>
      </c>
      <c r="D409" s="3" t="str">
        <f t="shared" si="141"/>
        <v>T_OPEX - Tenant Operating Expenses</v>
      </c>
      <c r="E409"/>
      <c r="F409" s="24" t="str">
        <f>_xll.EVDES(D409)</f>
        <v>Tenant Operating Expenses</v>
      </c>
      <c r="G409" s="19">
        <f ca="1">SUMIFS(OFFSET('BPC Data'!$F:$F,0,Summary!G$2),'BPC Data'!$E:$E,Summary!$D409,'BPC Data'!$B:$B,Summary!$C409)</f>
        <v>620068</v>
      </c>
      <c r="H409" s="183">
        <f ca="1">SUMIFS(OFFSET('BPC Data'!$F:$F,0,Summary!H$2),'BPC Data'!$E:$E,Summary!$D409,'BPC Data'!$B:$B,Summary!$C409)</f>
        <v>600558</v>
      </c>
      <c r="I409" s="19">
        <f ca="1">SUMIFS(OFFSET('BPC Data'!$F:$F,0,Summary!I$2),'BPC Data'!$E:$E,Summary!$D409,'BPC Data'!$B:$B,Summary!$C409)</f>
        <v>552976</v>
      </c>
      <c r="J409" s="183">
        <f ca="1">SUMIFS(OFFSET('BPC Data'!$F:$F,0,Summary!J$2),'BPC Data'!$E:$E,Summary!$D409,'BPC Data'!$B:$B,Summary!$C409)</f>
        <v>799667</v>
      </c>
      <c r="K409" s="19">
        <f ca="1">SUMIFS(OFFSET('BPC Data'!$F:$F,0,Summary!K$2),'BPC Data'!$E:$E,Summary!$D409,'BPC Data'!$B:$B,Summary!$C409)</f>
        <v>654850</v>
      </c>
      <c r="L409" s="183">
        <f ca="1">SUMIFS(OFFSET('BPC Data'!$F:$F,0,Summary!L$2),'BPC Data'!$E:$E,Summary!$D409,'BPC Data'!$B:$B,Summary!$C409)</f>
        <v>615121</v>
      </c>
      <c r="M409" s="19">
        <f ca="1">SUMIFS(OFFSET('BPC Data'!$F:$F,0,Summary!M$2),'BPC Data'!$E:$E,Summary!$D409,'BPC Data'!$B:$B,Summary!$C409)</f>
        <v>626237</v>
      </c>
      <c r="N409" s="183">
        <f ca="1">SUMIFS(OFFSET('BPC Data'!$F:$F,0,Summary!N$2),'BPC Data'!$E:$E,Summary!$D409,'BPC Data'!$B:$B,Summary!$C409)</f>
        <v>530389</v>
      </c>
      <c r="O409" s="19">
        <f ca="1">SUMIFS(OFFSET('BPC Data'!$F:$F,0,Summary!O$2),'BPC Data'!$E:$E,Summary!$D409,'BPC Data'!$B:$B,Summary!$C409)</f>
        <v>639770</v>
      </c>
      <c r="P409" s="183">
        <f ca="1">SUMIFS(OFFSET('BPC Data'!$F:$F,0,Summary!P$2),'BPC Data'!$E:$E,Summary!$D409,'BPC Data'!$B:$B,Summary!$C409)</f>
        <v>540109</v>
      </c>
      <c r="Q409" s="19">
        <f ca="1">SUMIFS(OFFSET('BPC Data'!$F:$F,0,Summary!Q$2),'BPC Data'!$E:$E,Summary!$D409,'BPC Data'!$B:$B,Summary!$C409)</f>
        <v>528767</v>
      </c>
      <c r="R409" s="183">
        <f ca="1">SUMIFS(OFFSET('BPC Data'!$F:$F,0,Summary!R$2),'BPC Data'!$E:$E,Summary!$D409,'BPC Data'!$B:$B,Summary!$C409)</f>
        <v>632519</v>
      </c>
      <c r="S409" s="187">
        <f t="shared" ca="1" si="137"/>
        <v>7341031</v>
      </c>
      <c r="T409" s="181"/>
    </row>
    <row r="410" spans="1:20" s="17" customFormat="1" outlineLevel="1" x14ac:dyDescent="0.25">
      <c r="A410" s="17">
        <f t="shared" si="142"/>
        <v>37</v>
      </c>
      <c r="B410"/>
      <c r="C410" t="str">
        <f>$F405</f>
        <v>SHC at Jefferson Manor Rehab &amp; Wellness Center</v>
      </c>
      <c r="D410" s="3" t="str">
        <f t="shared" si="141"/>
        <v>T_BAD_DEBT - Tenant Bad Debt Expense</v>
      </c>
      <c r="E410"/>
      <c r="F410" s="24" t="str">
        <f>_xll.EVDES(D410)</f>
        <v>Tenant Bad Debt Expense</v>
      </c>
      <c r="G410" s="19">
        <f ca="1">SUMIFS(OFFSET('BPC Data'!$F:$F,0,Summary!G$2),'BPC Data'!$E:$E,Summary!$D410,'BPC Data'!$B:$B,Summary!$C410)</f>
        <v>10000</v>
      </c>
      <c r="H410" s="183">
        <f ca="1">SUMIFS(OFFSET('BPC Data'!$F:$F,0,Summary!H$2),'BPC Data'!$E:$E,Summary!$D410,'BPC Data'!$B:$B,Summary!$C410)</f>
        <v>12500</v>
      </c>
      <c r="I410" s="19">
        <f ca="1">SUMIFS(OFFSET('BPC Data'!$F:$F,0,Summary!I$2),'BPC Data'!$E:$E,Summary!$D410,'BPC Data'!$B:$B,Summary!$C410)</f>
        <v>15000</v>
      </c>
      <c r="J410" s="183">
        <f ca="1">SUMIFS(OFFSET('BPC Data'!$F:$F,0,Summary!J$2),'BPC Data'!$E:$E,Summary!$D410,'BPC Data'!$B:$B,Summary!$C410)</f>
        <v>52642</v>
      </c>
      <c r="K410" s="19">
        <f ca="1">SUMIFS(OFFSET('BPC Data'!$F:$F,0,Summary!K$2),'BPC Data'!$E:$E,Summary!$D410,'BPC Data'!$B:$B,Summary!$C410)</f>
        <v>1500</v>
      </c>
      <c r="L410" s="183">
        <f ca="1">SUMIFS(OFFSET('BPC Data'!$F:$F,0,Summary!L$2),'BPC Data'!$E:$E,Summary!$D410,'BPC Data'!$B:$B,Summary!$C410)</f>
        <v>7500</v>
      </c>
      <c r="M410" s="19">
        <f ca="1">SUMIFS(OFFSET('BPC Data'!$F:$F,0,Summary!M$2),'BPC Data'!$E:$E,Summary!$D410,'BPC Data'!$B:$B,Summary!$C410)</f>
        <v>0</v>
      </c>
      <c r="N410" s="183">
        <f ca="1">SUMIFS(OFFSET('BPC Data'!$F:$F,0,Summary!N$2),'BPC Data'!$E:$E,Summary!$D410,'BPC Data'!$B:$B,Summary!$C410)</f>
        <v>0</v>
      </c>
      <c r="O410" s="19">
        <f ca="1">SUMIFS(OFFSET('BPC Data'!$F:$F,0,Summary!O$2),'BPC Data'!$E:$E,Summary!$D410,'BPC Data'!$B:$B,Summary!$C410)</f>
        <v>0</v>
      </c>
      <c r="P410" s="183">
        <f ca="1">SUMIFS(OFFSET('BPC Data'!$F:$F,0,Summary!P$2),'BPC Data'!$E:$E,Summary!$D410,'BPC Data'!$B:$B,Summary!$C410)</f>
        <v>0</v>
      </c>
      <c r="Q410" s="19">
        <f ca="1">SUMIFS(OFFSET('BPC Data'!$F:$F,0,Summary!Q$2),'BPC Data'!$E:$E,Summary!$D410,'BPC Data'!$B:$B,Summary!$C410)</f>
        <v>0</v>
      </c>
      <c r="R410" s="183">
        <f ca="1">SUMIFS(OFFSET('BPC Data'!$F:$F,0,Summary!R$2),'BPC Data'!$E:$E,Summary!$D410,'BPC Data'!$B:$B,Summary!$C410)</f>
        <v>5000</v>
      </c>
      <c r="S410" s="187">
        <f t="shared" ca="1" si="137"/>
        <v>104142</v>
      </c>
      <c r="T410" s="181"/>
    </row>
    <row r="411" spans="1:20" s="17" customFormat="1" outlineLevel="1" x14ac:dyDescent="0.25">
      <c r="A411" s="17">
        <f t="shared" si="142"/>
        <v>37</v>
      </c>
      <c r="B411"/>
      <c r="C411" t="str">
        <f>$F405</f>
        <v>SHC at Jefferson Manor Rehab &amp; Wellness Center</v>
      </c>
      <c r="D411" s="2" t="str">
        <f t="shared" si="141"/>
        <v>T_EBITDARM - EBITDARM</v>
      </c>
      <c r="E411"/>
      <c r="F411" s="24" t="str">
        <f>_xll.EVDES(D411)</f>
        <v>EBITDARM</v>
      </c>
      <c r="G411" s="19">
        <f ca="1">SUMIFS(OFFSET('BPC Data'!$F:$F,0,Summary!G$2),'BPC Data'!$E:$E,Summary!$D411,'BPC Data'!$B:$B,Summary!$C411)</f>
        <v>59333</v>
      </c>
      <c r="H411" s="183">
        <f ca="1">SUMIFS(OFFSET('BPC Data'!$F:$F,0,Summary!H$2),'BPC Data'!$E:$E,Summary!$D411,'BPC Data'!$B:$B,Summary!$C411)</f>
        <v>5491</v>
      </c>
      <c r="I411" s="19">
        <f ca="1">SUMIFS(OFFSET('BPC Data'!$F:$F,0,Summary!I$2),'BPC Data'!$E:$E,Summary!$D411,'BPC Data'!$B:$B,Summary!$C411)</f>
        <v>74084</v>
      </c>
      <c r="J411" s="183">
        <f ca="1">SUMIFS(OFFSET('BPC Data'!$F:$F,0,Summary!J$2),'BPC Data'!$E:$E,Summary!$D411,'BPC Data'!$B:$B,Summary!$C411)</f>
        <v>148940</v>
      </c>
      <c r="K411" s="19">
        <f ca="1">SUMIFS(OFFSET('BPC Data'!$F:$F,0,Summary!K$2),'BPC Data'!$E:$E,Summary!$D411,'BPC Data'!$B:$B,Summary!$C411)</f>
        <v>144558</v>
      </c>
      <c r="L411" s="183">
        <f ca="1">SUMIFS(OFFSET('BPC Data'!$F:$F,0,Summary!L$2),'BPC Data'!$E:$E,Summary!$D411,'BPC Data'!$B:$B,Summary!$C411)</f>
        <v>42375</v>
      </c>
      <c r="M411" s="19">
        <f ca="1">SUMIFS(OFFSET('BPC Data'!$F:$F,0,Summary!M$2),'BPC Data'!$E:$E,Summary!$D411,'BPC Data'!$B:$B,Summary!$C411)</f>
        <v>174794</v>
      </c>
      <c r="N411" s="183">
        <f ca="1">SUMIFS(OFFSET('BPC Data'!$F:$F,0,Summary!N$2),'BPC Data'!$E:$E,Summary!$D411,'BPC Data'!$B:$B,Summary!$C411)</f>
        <v>131839</v>
      </c>
      <c r="O411" s="19">
        <f ca="1">SUMIFS(OFFSET('BPC Data'!$F:$F,0,Summary!O$2),'BPC Data'!$E:$E,Summary!$D411,'BPC Data'!$B:$B,Summary!$C411)</f>
        <v>89228</v>
      </c>
      <c r="P411" s="183">
        <f ca="1">SUMIFS(OFFSET('BPC Data'!$F:$F,0,Summary!P$2),'BPC Data'!$E:$E,Summary!$D411,'BPC Data'!$B:$B,Summary!$C411)</f>
        <v>-862</v>
      </c>
      <c r="Q411" s="19">
        <f ca="1">SUMIFS(OFFSET('BPC Data'!$F:$F,0,Summary!Q$2),'BPC Data'!$E:$E,Summary!$D411,'BPC Data'!$B:$B,Summary!$C411)</f>
        <v>129164</v>
      </c>
      <c r="R411" s="183">
        <f ca="1">SUMIFS(OFFSET('BPC Data'!$F:$F,0,Summary!R$2),'BPC Data'!$E:$E,Summary!$D411,'BPC Data'!$B:$B,Summary!$C411)</f>
        <v>179498</v>
      </c>
      <c r="S411" s="187">
        <f t="shared" ca="1" si="137"/>
        <v>1178442</v>
      </c>
      <c r="T411" s="181"/>
    </row>
    <row r="412" spans="1:20" s="17" customFormat="1" outlineLevel="1" x14ac:dyDescent="0.25">
      <c r="A412" s="17">
        <f t="shared" si="142"/>
        <v>37</v>
      </c>
      <c r="B412"/>
      <c r="C412" t="str">
        <f>$F405</f>
        <v>SHC at Jefferson Manor Rehab &amp; Wellness Center</v>
      </c>
      <c r="D412" s="2" t="str">
        <f t="shared" si="141"/>
        <v>T_MGMT_FEE - Tenant Management Fee - Actual</v>
      </c>
      <c r="E412"/>
      <c r="F412" s="24" t="str">
        <f>_xll.EVDES(D412)</f>
        <v>Tenant Management Fee - Actual</v>
      </c>
      <c r="G412" s="19">
        <f ca="1">SUMIFS(OFFSET('BPC Data'!$F:$F,0,Summary!G$2),'BPC Data'!$E:$E,Summary!$D412,'BPC Data'!$B:$B,Summary!$C412)</f>
        <v>34249</v>
      </c>
      <c r="H412" s="183">
        <f ca="1">SUMIFS(OFFSET('BPC Data'!$F:$F,0,Summary!H$2),'BPC Data'!$E:$E,Summary!$D412,'BPC Data'!$B:$B,Summary!$C412)</f>
        <v>30605</v>
      </c>
      <c r="I412" s="19">
        <f ca="1">SUMIFS(OFFSET('BPC Data'!$F:$F,0,Summary!I$2),'BPC Data'!$E:$E,Summary!$D412,'BPC Data'!$B:$B,Summary!$C412)</f>
        <v>31667</v>
      </c>
      <c r="J412" s="183">
        <f ca="1">SUMIFS(OFFSET('BPC Data'!$F:$F,0,Summary!J$2),'BPC Data'!$E:$E,Summary!$D412,'BPC Data'!$B:$B,Summary!$C412)</f>
        <v>46862</v>
      </c>
      <c r="K412" s="19">
        <f ca="1">SUMIFS(OFFSET('BPC Data'!$F:$F,0,Summary!K$2),'BPC Data'!$E:$E,Summary!$D412,'BPC Data'!$B:$B,Summary!$C412)</f>
        <v>40412</v>
      </c>
      <c r="L412" s="183">
        <f ca="1">SUMIFS(OFFSET('BPC Data'!$F:$F,0,Summary!L$2),'BPC Data'!$E:$E,Summary!$D412,'BPC Data'!$B:$B,Summary!$C412)</f>
        <v>33204</v>
      </c>
      <c r="M412" s="19">
        <f ca="1">SUMIFS(OFFSET('BPC Data'!$F:$F,0,Summary!M$2),'BPC Data'!$E:$E,Summary!$D412,'BPC Data'!$B:$B,Summary!$C412)</f>
        <v>40452</v>
      </c>
      <c r="N412" s="183">
        <f ca="1">SUMIFS(OFFSET('BPC Data'!$F:$F,0,Summary!N$2),'BPC Data'!$E:$E,Summary!$D412,'BPC Data'!$B:$B,Summary!$C412)</f>
        <v>33442</v>
      </c>
      <c r="O412" s="19">
        <f ca="1">SUMIFS(OFFSET('BPC Data'!$F:$F,0,Summary!O$2),'BPC Data'!$E:$E,Summary!$D412,'BPC Data'!$B:$B,Summary!$C412)</f>
        <v>36814</v>
      </c>
      <c r="P412" s="183">
        <f ca="1">SUMIFS(OFFSET('BPC Data'!$F:$F,0,Summary!P$2),'BPC Data'!$E:$E,Summary!$D412,'BPC Data'!$B:$B,Summary!$C412)</f>
        <v>27232</v>
      </c>
      <c r="Q412" s="19">
        <f ca="1">SUMIFS(OFFSET('BPC Data'!$F:$F,0,Summary!Q$2),'BPC Data'!$E:$E,Summary!$D412,'BPC Data'!$B:$B,Summary!$C412)</f>
        <v>33226</v>
      </c>
      <c r="R412" s="183">
        <f ca="1">SUMIFS(OFFSET('BPC Data'!$F:$F,0,Summary!R$2),'BPC Data'!$E:$E,Summary!$D412,'BPC Data'!$B:$B,Summary!$C412)</f>
        <v>41007</v>
      </c>
      <c r="S412" s="187">
        <f t="shared" ca="1" si="137"/>
        <v>429172</v>
      </c>
      <c r="T412" s="181"/>
    </row>
    <row r="413" spans="1:20" s="17" customFormat="1" outlineLevel="1" x14ac:dyDescent="0.25">
      <c r="A413" s="17">
        <f t="shared" si="142"/>
        <v>37</v>
      </c>
      <c r="B413"/>
      <c r="C413" t="str">
        <f>$F405</f>
        <v>SHC at Jefferson Manor Rehab &amp; Wellness Center</v>
      </c>
      <c r="D413" s="1" t="str">
        <f t="shared" si="141"/>
        <v>T_EBITDAR - EBITDAR</v>
      </c>
      <c r="E413"/>
      <c r="F413" s="24" t="str">
        <f>_xll.EVDES(D413)</f>
        <v>EBITDAR</v>
      </c>
      <c r="G413" s="19">
        <f ca="1">SUMIFS(OFFSET('BPC Data'!$F:$F,0,Summary!G$2),'BPC Data'!$E:$E,Summary!$D413,'BPC Data'!$B:$B,Summary!$C413)</f>
        <v>25084</v>
      </c>
      <c r="H413" s="183">
        <f ca="1">SUMIFS(OFFSET('BPC Data'!$F:$F,0,Summary!H$2),'BPC Data'!$E:$E,Summary!$D413,'BPC Data'!$B:$B,Summary!$C413)</f>
        <v>-25114</v>
      </c>
      <c r="I413" s="19">
        <f ca="1">SUMIFS(OFFSET('BPC Data'!$F:$F,0,Summary!I$2),'BPC Data'!$E:$E,Summary!$D413,'BPC Data'!$B:$B,Summary!$C413)</f>
        <v>42417</v>
      </c>
      <c r="J413" s="183">
        <f ca="1">SUMIFS(OFFSET('BPC Data'!$F:$F,0,Summary!J$2),'BPC Data'!$E:$E,Summary!$D413,'BPC Data'!$B:$B,Summary!$C413)</f>
        <v>102078</v>
      </c>
      <c r="K413" s="19">
        <f ca="1">SUMIFS(OFFSET('BPC Data'!$F:$F,0,Summary!K$2),'BPC Data'!$E:$E,Summary!$D413,'BPC Data'!$B:$B,Summary!$C413)</f>
        <v>104146</v>
      </c>
      <c r="L413" s="183">
        <f ca="1">SUMIFS(OFFSET('BPC Data'!$F:$F,0,Summary!L$2),'BPC Data'!$E:$E,Summary!$D413,'BPC Data'!$B:$B,Summary!$C413)</f>
        <v>9171</v>
      </c>
      <c r="M413" s="19">
        <f ca="1">SUMIFS(OFFSET('BPC Data'!$F:$F,0,Summary!M$2),'BPC Data'!$E:$E,Summary!$D413,'BPC Data'!$B:$B,Summary!$C413)</f>
        <v>134342</v>
      </c>
      <c r="N413" s="183">
        <f ca="1">SUMIFS(OFFSET('BPC Data'!$F:$F,0,Summary!N$2),'BPC Data'!$E:$E,Summary!$D413,'BPC Data'!$B:$B,Summary!$C413)</f>
        <v>98397</v>
      </c>
      <c r="O413" s="19">
        <f ca="1">SUMIFS(OFFSET('BPC Data'!$F:$F,0,Summary!O$2),'BPC Data'!$E:$E,Summary!$D413,'BPC Data'!$B:$B,Summary!$C413)</f>
        <v>52414</v>
      </c>
      <c r="P413" s="183">
        <f ca="1">SUMIFS(OFFSET('BPC Data'!$F:$F,0,Summary!P$2),'BPC Data'!$E:$E,Summary!$D413,'BPC Data'!$B:$B,Summary!$C413)</f>
        <v>-28094</v>
      </c>
      <c r="Q413" s="19">
        <f ca="1">SUMIFS(OFFSET('BPC Data'!$F:$F,0,Summary!Q$2),'BPC Data'!$E:$E,Summary!$D413,'BPC Data'!$B:$B,Summary!$C413)</f>
        <v>95938</v>
      </c>
      <c r="R413" s="183">
        <f ca="1">SUMIFS(OFFSET('BPC Data'!$F:$F,0,Summary!R$2),'BPC Data'!$E:$E,Summary!$D413,'BPC Data'!$B:$B,Summary!$C413)</f>
        <v>138491</v>
      </c>
      <c r="S413" s="187">
        <f t="shared" ca="1" si="137"/>
        <v>749270</v>
      </c>
      <c r="T413" s="181"/>
    </row>
    <row r="414" spans="1:20" s="17" customFormat="1" outlineLevel="1" x14ac:dyDescent="0.25">
      <c r="A414" s="17">
        <f t="shared" si="142"/>
        <v>37</v>
      </c>
      <c r="B414"/>
      <c r="C414" t="str">
        <f>$F405</f>
        <v>SHC at Jefferson Manor Rehab &amp; Wellness Center</v>
      </c>
      <c r="D414" s="1" t="str">
        <f t="shared" si="141"/>
        <v>T_RENT_EXP - Tenant Rent Expense</v>
      </c>
      <c r="E414"/>
      <c r="F414" s="24" t="str">
        <f>_xll.EVDES(D414)</f>
        <v>Tenant Rent Expense</v>
      </c>
      <c r="G414" s="19">
        <f ca="1">SUMIFS(OFFSET('BPC Data'!$F:$F,0,Summary!G$2),'BPC Data'!$E:$E,Summary!$D414,'BPC Data'!$B:$B,Summary!$C414)</f>
        <v>5253</v>
      </c>
      <c r="H414" s="183">
        <f ca="1">SUMIFS(OFFSET('BPC Data'!$F:$F,0,Summary!H$2),'BPC Data'!$E:$E,Summary!$D414,'BPC Data'!$B:$B,Summary!$C414)</f>
        <v>5253</v>
      </c>
      <c r="I414" s="19">
        <f ca="1">SUMIFS(OFFSET('BPC Data'!$F:$F,0,Summary!I$2),'BPC Data'!$E:$E,Summary!$D414,'BPC Data'!$B:$B,Summary!$C414)</f>
        <v>5253</v>
      </c>
      <c r="J414" s="183">
        <f ca="1">SUMIFS(OFFSET('BPC Data'!$F:$F,0,Summary!J$2),'BPC Data'!$E:$E,Summary!$D414,'BPC Data'!$B:$B,Summary!$C414)</f>
        <v>5384</v>
      </c>
      <c r="K414" s="19">
        <f ca="1">SUMIFS(OFFSET('BPC Data'!$F:$F,0,Summary!K$2),'BPC Data'!$E:$E,Summary!$D414,'BPC Data'!$B:$B,Summary!$C414)</f>
        <v>5384</v>
      </c>
      <c r="L414" s="183">
        <f ca="1">SUMIFS(OFFSET('BPC Data'!$F:$F,0,Summary!L$2),'BPC Data'!$E:$E,Summary!$D414,'BPC Data'!$B:$B,Summary!$C414)</f>
        <v>5384</v>
      </c>
      <c r="M414" s="19">
        <f ca="1">SUMIFS(OFFSET('BPC Data'!$F:$F,0,Summary!M$2),'BPC Data'!$E:$E,Summary!$D414,'BPC Data'!$B:$B,Summary!$C414)</f>
        <v>5384</v>
      </c>
      <c r="N414" s="183">
        <f ca="1">SUMIFS(OFFSET('BPC Data'!$F:$F,0,Summary!N$2),'BPC Data'!$E:$E,Summary!$D414,'BPC Data'!$B:$B,Summary!$C414)</f>
        <v>5384</v>
      </c>
      <c r="O414" s="19">
        <f ca="1">SUMIFS(OFFSET('BPC Data'!$F:$F,0,Summary!O$2),'BPC Data'!$E:$E,Summary!$D414,'BPC Data'!$B:$B,Summary!$C414)</f>
        <v>5384</v>
      </c>
      <c r="P414" s="183">
        <f ca="1">SUMIFS(OFFSET('BPC Data'!$F:$F,0,Summary!P$2),'BPC Data'!$E:$E,Summary!$D414,'BPC Data'!$B:$B,Summary!$C414)</f>
        <v>5384</v>
      </c>
      <c r="Q414" s="19">
        <f ca="1">SUMIFS(OFFSET('BPC Data'!$F:$F,0,Summary!Q$2),'BPC Data'!$E:$E,Summary!$D414,'BPC Data'!$B:$B,Summary!$C414)</f>
        <v>5384</v>
      </c>
      <c r="R414" s="183">
        <f ca="1">SUMIFS(OFFSET('BPC Data'!$F:$F,0,Summary!R$2),'BPC Data'!$E:$E,Summary!$D414,'BPC Data'!$B:$B,Summary!$C414)</f>
        <v>5384</v>
      </c>
      <c r="S414" s="187">
        <f t="shared" ca="1" si="137"/>
        <v>64215</v>
      </c>
      <c r="T414" s="181"/>
    </row>
    <row r="415" spans="1:20" s="17" customFormat="1" outlineLevel="1" x14ac:dyDescent="0.25">
      <c r="A415" s="17">
        <f t="shared" si="142"/>
        <v>37</v>
      </c>
      <c r="B415"/>
      <c r="C415"/>
      <c r="D415" s="1" t="str">
        <f t="shared" si="141"/>
        <v>x</v>
      </c>
      <c r="E415"/>
      <c r="F415" s="24" t="s">
        <v>0</v>
      </c>
      <c r="G415" s="12">
        <f ca="1">G413/G414</f>
        <v>4.7751760898534172</v>
      </c>
      <c r="H415" s="184">
        <f t="shared" ref="H415:I415" ca="1" si="143">H413/H414</f>
        <v>-4.780887112126404</v>
      </c>
      <c r="I415" s="12">
        <f t="shared" ca="1" si="143"/>
        <v>8.0748143917761279</v>
      </c>
      <c r="J415" s="184">
        <f t="shared" ref="J415:R415" ca="1" si="144">J413/J414</f>
        <v>18.959509658246656</v>
      </c>
      <c r="K415" s="12">
        <f t="shared" ca="1" si="144"/>
        <v>19.343610698365527</v>
      </c>
      <c r="L415" s="184">
        <f t="shared" ca="1" si="144"/>
        <v>1.7033803863298662</v>
      </c>
      <c r="M415" s="12">
        <f t="shared" ca="1" si="144"/>
        <v>24.952080237741455</v>
      </c>
      <c r="N415" s="184">
        <f t="shared" ca="1" si="144"/>
        <v>18.275817236255573</v>
      </c>
      <c r="O415" s="12">
        <f t="shared" ca="1" si="144"/>
        <v>9.7351411589895989</v>
      </c>
      <c r="P415" s="184">
        <f t="shared" ca="1" si="144"/>
        <v>-5.2180534918276376</v>
      </c>
      <c r="Q415" s="12">
        <f t="shared" ca="1" si="144"/>
        <v>17.819093610698367</v>
      </c>
      <c r="R415" s="184">
        <f t="shared" ca="1" si="144"/>
        <v>25.722696879643387</v>
      </c>
      <c r="S415" s="187">
        <f t="shared" ca="1" si="137"/>
        <v>139.36237974394595</v>
      </c>
      <c r="T415" s="181"/>
    </row>
    <row r="416" spans="1:20" s="17" customFormat="1" outlineLevel="1" x14ac:dyDescent="0.25">
      <c r="A416" s="17">
        <f>IF(AND(D416&lt;&gt;"",C416=""),A415+1,A415)</f>
        <v>38</v>
      </c>
      <c r="B416" s="5"/>
      <c r="C416" s="5"/>
      <c r="D416" s="5" t="str">
        <f t="shared" si="141"/>
        <v>x</v>
      </c>
      <c r="E416" s="5"/>
      <c r="F416" s="23" t="str">
        <f>INDEX(PropertyList!$D:$D,MATCH(Summary!$A416,PropertyList!$C:$C,0))</f>
        <v>SHC at Jefferson Place Rehab &amp; Wellness Center</v>
      </c>
      <c r="G416" s="11"/>
      <c r="H416" s="182"/>
      <c r="I416" s="11"/>
      <c r="J416" s="182"/>
      <c r="K416" s="11"/>
      <c r="L416" s="182"/>
      <c r="M416" s="11"/>
      <c r="N416" s="182"/>
      <c r="O416" s="11"/>
      <c r="P416" s="182"/>
      <c r="Q416" s="11"/>
      <c r="R416" s="182"/>
      <c r="S416" s="187">
        <f t="shared" si="137"/>
        <v>0</v>
      </c>
      <c r="T416" s="181"/>
    </row>
    <row r="417" spans="1:20" s="17" customFormat="1" outlineLevel="1" x14ac:dyDescent="0.25">
      <c r="A417" s="17">
        <f>IF(AND(F417&lt;&gt;"",D417=""),A416+1,A416)</f>
        <v>38</v>
      </c>
      <c r="C417" t="str">
        <f>$F416</f>
        <v>SHC at Jefferson Place Rehab &amp; Wellness Center</v>
      </c>
      <c r="D417" s="3" t="str">
        <f t="shared" si="141"/>
        <v>PAY_PAT_DAYS - Total Payor Patient Days</v>
      </c>
      <c r="F417" s="24" t="str">
        <f>_xll.EVDES(D417)</f>
        <v>Total Payor Patient Days</v>
      </c>
      <c r="G417" s="19">
        <f ca="1">SUMIFS(OFFSET('BPC Data'!$F:$F,0,Summary!G$2),'BPC Data'!$E:$E,Summary!$D417,'BPC Data'!$B:$B,Summary!$C417)</f>
        <v>1262</v>
      </c>
      <c r="H417" s="183">
        <f ca="1">SUMIFS(OFFSET('BPC Data'!$F:$F,0,Summary!H$2),'BPC Data'!$E:$E,Summary!$D417,'BPC Data'!$B:$B,Summary!$C417)</f>
        <v>1675</v>
      </c>
      <c r="I417" s="19">
        <f ca="1">SUMIFS(OFFSET('BPC Data'!$F:$F,0,Summary!I$2),'BPC Data'!$E:$E,Summary!$D417,'BPC Data'!$B:$B,Summary!$C417)</f>
        <v>1488</v>
      </c>
      <c r="J417" s="183">
        <f ca="1">SUMIFS(OFFSET('BPC Data'!$F:$F,0,Summary!J$2),'BPC Data'!$E:$E,Summary!$D417,'BPC Data'!$B:$B,Summary!$C417)</f>
        <v>1630</v>
      </c>
      <c r="K417" s="19">
        <f ca="1">SUMIFS(OFFSET('BPC Data'!$F:$F,0,Summary!K$2),'BPC Data'!$E:$E,Summary!$D417,'BPC Data'!$B:$B,Summary!$C417)</f>
        <v>1858</v>
      </c>
      <c r="L417" s="183">
        <f ca="1">SUMIFS(OFFSET('BPC Data'!$F:$F,0,Summary!L$2),'BPC Data'!$E:$E,Summary!$D417,'BPC Data'!$B:$B,Summary!$C417)</f>
        <v>1682</v>
      </c>
      <c r="M417" s="19">
        <f ca="1">SUMIFS(OFFSET('BPC Data'!$F:$F,0,Summary!M$2),'BPC Data'!$E:$E,Summary!$D417,'BPC Data'!$B:$B,Summary!$C417)</f>
        <v>1945</v>
      </c>
      <c r="N417" s="183">
        <f ca="1">SUMIFS(OFFSET('BPC Data'!$F:$F,0,Summary!N$2),'BPC Data'!$E:$E,Summary!$D417,'BPC Data'!$B:$B,Summary!$C417)</f>
        <v>1752</v>
      </c>
      <c r="O417" s="19">
        <f ca="1">SUMIFS(OFFSET('BPC Data'!$F:$F,0,Summary!O$2),'BPC Data'!$E:$E,Summary!$D417,'BPC Data'!$B:$B,Summary!$C417)</f>
        <v>1986</v>
      </c>
      <c r="P417" s="183">
        <f ca="1">SUMIFS(OFFSET('BPC Data'!$F:$F,0,Summary!P$2),'BPC Data'!$E:$E,Summary!$D417,'BPC Data'!$B:$B,Summary!$C417)</f>
        <v>1955</v>
      </c>
      <c r="Q417" s="19">
        <f ca="1">SUMIFS(OFFSET('BPC Data'!$F:$F,0,Summary!Q$2),'BPC Data'!$E:$E,Summary!$D417,'BPC Data'!$B:$B,Summary!$C417)</f>
        <v>1947</v>
      </c>
      <c r="R417" s="183">
        <f ca="1">SUMIFS(OFFSET('BPC Data'!$F:$F,0,Summary!R$2),'BPC Data'!$E:$E,Summary!$D417,'BPC Data'!$B:$B,Summary!$C417)</f>
        <v>1990</v>
      </c>
      <c r="S417" s="187">
        <f t="shared" ca="1" si="137"/>
        <v>21170</v>
      </c>
      <c r="T417" s="181"/>
    </row>
    <row r="418" spans="1:20" s="17" customFormat="1" outlineLevel="1" x14ac:dyDescent="0.25">
      <c r="A418" s="17">
        <f t="shared" ref="A418:A426" si="145">IF(AND(F418&lt;&gt;"",D418=""),A417+1,A417)</f>
        <v>38</v>
      </c>
      <c r="C418" t="str">
        <f>$F416</f>
        <v>SHC at Jefferson Place Rehab &amp; Wellness Center</v>
      </c>
      <c r="D418" s="3" t="str">
        <f t="shared" si="141"/>
        <v>A_BEDS_TOTAL - Total Available Beds</v>
      </c>
      <c r="F418" s="24" t="str">
        <f>_xll.EVDES(D418)</f>
        <v>Total Available Beds</v>
      </c>
      <c r="G418" s="19">
        <f ca="1">SUMIFS(OFFSET('BPC Data'!$F:$F,0,Summary!G$2),'BPC Data'!$E:$E,Summary!$D418,'BPC Data'!$B:$B,Summary!$C418)</f>
        <v>95</v>
      </c>
      <c r="H418" s="183">
        <f ca="1">SUMIFS(OFFSET('BPC Data'!$F:$F,0,Summary!H$2),'BPC Data'!$E:$E,Summary!$D418,'BPC Data'!$B:$B,Summary!$C418)</f>
        <v>95</v>
      </c>
      <c r="I418" s="19">
        <f ca="1">SUMIFS(OFFSET('BPC Data'!$F:$F,0,Summary!I$2),'BPC Data'!$E:$E,Summary!$D418,'BPC Data'!$B:$B,Summary!$C418)</f>
        <v>95</v>
      </c>
      <c r="J418" s="183">
        <f ca="1">SUMIFS(OFFSET('BPC Data'!$F:$F,0,Summary!J$2),'BPC Data'!$E:$E,Summary!$D418,'BPC Data'!$B:$B,Summary!$C418)</f>
        <v>95</v>
      </c>
      <c r="K418" s="19">
        <f ca="1">SUMIFS(OFFSET('BPC Data'!$F:$F,0,Summary!K$2),'BPC Data'!$E:$E,Summary!$D418,'BPC Data'!$B:$B,Summary!$C418)</f>
        <v>95</v>
      </c>
      <c r="L418" s="183">
        <f ca="1">SUMIFS(OFFSET('BPC Data'!$F:$F,0,Summary!L$2),'BPC Data'!$E:$E,Summary!$D418,'BPC Data'!$B:$B,Summary!$C418)</f>
        <v>95</v>
      </c>
      <c r="M418" s="19">
        <f ca="1">SUMIFS(OFFSET('BPC Data'!$F:$F,0,Summary!M$2),'BPC Data'!$E:$E,Summary!$D418,'BPC Data'!$B:$B,Summary!$C418)</f>
        <v>95</v>
      </c>
      <c r="N418" s="183">
        <f ca="1">SUMIFS(OFFSET('BPC Data'!$F:$F,0,Summary!N$2),'BPC Data'!$E:$E,Summary!$D418,'BPC Data'!$B:$B,Summary!$C418)</f>
        <v>95</v>
      </c>
      <c r="O418" s="19">
        <f ca="1">SUMIFS(OFFSET('BPC Data'!$F:$F,0,Summary!O$2),'BPC Data'!$E:$E,Summary!$D418,'BPC Data'!$B:$B,Summary!$C418)</f>
        <v>95</v>
      </c>
      <c r="P418" s="183">
        <f ca="1">SUMIFS(OFFSET('BPC Data'!$F:$F,0,Summary!P$2),'BPC Data'!$E:$E,Summary!$D418,'BPC Data'!$B:$B,Summary!$C418)</f>
        <v>95</v>
      </c>
      <c r="Q418" s="19">
        <f ca="1">SUMIFS(OFFSET('BPC Data'!$F:$F,0,Summary!Q$2),'BPC Data'!$E:$E,Summary!$D418,'BPC Data'!$B:$B,Summary!$C418)</f>
        <v>95</v>
      </c>
      <c r="R418" s="183">
        <f ca="1">SUMIFS(OFFSET('BPC Data'!$F:$F,0,Summary!R$2),'BPC Data'!$E:$E,Summary!$D418,'BPC Data'!$B:$B,Summary!$C418)</f>
        <v>95</v>
      </c>
      <c r="S418" s="187">
        <f ca="1">R418</f>
        <v>95</v>
      </c>
      <c r="T418" s="181"/>
    </row>
    <row r="419" spans="1:20" s="17" customFormat="1" outlineLevel="1" x14ac:dyDescent="0.25">
      <c r="A419" s="17">
        <f t="shared" si="145"/>
        <v>38</v>
      </c>
      <c r="B419"/>
      <c r="C419" t="str">
        <f>$F416</f>
        <v>SHC at Jefferson Place Rehab &amp; Wellness Center</v>
      </c>
      <c r="D419" s="3" t="str">
        <f t="shared" si="141"/>
        <v>T_REVENUES - Total Tenant Revenues</v>
      </c>
      <c r="E419"/>
      <c r="F419" s="24" t="str">
        <f>_xll.EVDES(D419)</f>
        <v>Total Tenant Revenues</v>
      </c>
      <c r="G419" s="19">
        <f ca="1">SUMIFS(OFFSET('BPC Data'!$F:$F,0,Summary!G$2),'BPC Data'!$E:$E,Summary!$D419,'BPC Data'!$B:$B,Summary!$C419)</f>
        <v>532950</v>
      </c>
      <c r="H419" s="183">
        <f ca="1">SUMIFS(OFFSET('BPC Data'!$F:$F,0,Summary!H$2),'BPC Data'!$E:$E,Summary!$D419,'BPC Data'!$B:$B,Summary!$C419)</f>
        <v>717356</v>
      </c>
      <c r="I419" s="19">
        <f ca="1">SUMIFS(OFFSET('BPC Data'!$F:$F,0,Summary!I$2),'BPC Data'!$E:$E,Summary!$D419,'BPC Data'!$B:$B,Summary!$C419)</f>
        <v>709735</v>
      </c>
      <c r="J419" s="183">
        <f ca="1">SUMIFS(OFFSET('BPC Data'!$F:$F,0,Summary!J$2),'BPC Data'!$E:$E,Summary!$D419,'BPC Data'!$B:$B,Summary!$C419)</f>
        <v>1255643</v>
      </c>
      <c r="K419" s="19">
        <f ca="1">SUMIFS(OFFSET('BPC Data'!$F:$F,0,Summary!K$2),'BPC Data'!$E:$E,Summary!$D419,'BPC Data'!$B:$B,Summary!$C419)</f>
        <v>674205</v>
      </c>
      <c r="L419" s="183">
        <f ca="1">SUMIFS(OFFSET('BPC Data'!$F:$F,0,Summary!L$2),'BPC Data'!$E:$E,Summary!$D419,'BPC Data'!$B:$B,Summary!$C419)</f>
        <v>635635</v>
      </c>
      <c r="M419" s="19">
        <f ca="1">SUMIFS(OFFSET('BPC Data'!$F:$F,0,Summary!M$2),'BPC Data'!$E:$E,Summary!$D419,'BPC Data'!$B:$B,Summary!$C419)</f>
        <v>714137</v>
      </c>
      <c r="N419" s="183">
        <f ca="1">SUMIFS(OFFSET('BPC Data'!$F:$F,0,Summary!N$2),'BPC Data'!$E:$E,Summary!$D419,'BPC Data'!$B:$B,Summary!$C419)</f>
        <v>673053</v>
      </c>
      <c r="O419" s="19">
        <f ca="1">SUMIFS(OFFSET('BPC Data'!$F:$F,0,Summary!O$2),'BPC Data'!$E:$E,Summary!$D419,'BPC Data'!$B:$B,Summary!$C419)</f>
        <v>785482</v>
      </c>
      <c r="P419" s="183">
        <f ca="1">SUMIFS(OFFSET('BPC Data'!$F:$F,0,Summary!P$2),'BPC Data'!$E:$E,Summary!$D419,'BPC Data'!$B:$B,Summary!$C419)</f>
        <v>752722</v>
      </c>
      <c r="Q419" s="19">
        <f ca="1">SUMIFS(OFFSET('BPC Data'!$F:$F,0,Summary!Q$2),'BPC Data'!$E:$E,Summary!$D419,'BPC Data'!$B:$B,Summary!$C419)</f>
        <v>736548</v>
      </c>
      <c r="R419" s="183">
        <f ca="1">SUMIFS(OFFSET('BPC Data'!$F:$F,0,Summary!R$2),'BPC Data'!$E:$E,Summary!$D419,'BPC Data'!$B:$B,Summary!$C419)</f>
        <v>778503</v>
      </c>
      <c r="S419" s="187">
        <f t="shared" ca="1" si="137"/>
        <v>8965969</v>
      </c>
      <c r="T419" s="181"/>
    </row>
    <row r="420" spans="1:20" s="17" customFormat="1" outlineLevel="1" x14ac:dyDescent="0.25">
      <c r="A420" s="17">
        <f t="shared" si="145"/>
        <v>38</v>
      </c>
      <c r="B420"/>
      <c r="C420" t="str">
        <f>$F416</f>
        <v>SHC at Jefferson Place Rehab &amp; Wellness Center</v>
      </c>
      <c r="D420" s="3" t="str">
        <f t="shared" si="141"/>
        <v>T_OPEX - Tenant Operating Expenses</v>
      </c>
      <c r="E420"/>
      <c r="F420" s="24" t="str">
        <f>_xll.EVDES(D420)</f>
        <v>Tenant Operating Expenses</v>
      </c>
      <c r="G420" s="19">
        <f ca="1">SUMIFS(OFFSET('BPC Data'!$F:$F,0,Summary!G$2),'BPC Data'!$E:$E,Summary!$D420,'BPC Data'!$B:$B,Summary!$C420)</f>
        <v>523273</v>
      </c>
      <c r="H420" s="183">
        <f ca="1">SUMIFS(OFFSET('BPC Data'!$F:$F,0,Summary!H$2),'BPC Data'!$E:$E,Summary!$D420,'BPC Data'!$B:$B,Summary!$C420)</f>
        <v>613792</v>
      </c>
      <c r="I420" s="19">
        <f ca="1">SUMIFS(OFFSET('BPC Data'!$F:$F,0,Summary!I$2),'BPC Data'!$E:$E,Summary!$D420,'BPC Data'!$B:$B,Summary!$C420)</f>
        <v>603764</v>
      </c>
      <c r="J420" s="183">
        <f ca="1">SUMIFS(OFFSET('BPC Data'!$F:$F,0,Summary!J$2),'BPC Data'!$E:$E,Summary!$D420,'BPC Data'!$B:$B,Summary!$C420)</f>
        <v>920923</v>
      </c>
      <c r="K420" s="19">
        <f ca="1">SUMIFS(OFFSET('BPC Data'!$F:$F,0,Summary!K$2),'BPC Data'!$E:$E,Summary!$D420,'BPC Data'!$B:$B,Summary!$C420)</f>
        <v>568079</v>
      </c>
      <c r="L420" s="183">
        <f ca="1">SUMIFS(OFFSET('BPC Data'!$F:$F,0,Summary!L$2),'BPC Data'!$E:$E,Summary!$D420,'BPC Data'!$B:$B,Summary!$C420)</f>
        <v>536894</v>
      </c>
      <c r="M420" s="19">
        <f ca="1">SUMIFS(OFFSET('BPC Data'!$F:$F,0,Summary!M$2),'BPC Data'!$E:$E,Summary!$D420,'BPC Data'!$B:$B,Summary!$C420)</f>
        <v>620166</v>
      </c>
      <c r="N420" s="183">
        <f ca="1">SUMIFS(OFFSET('BPC Data'!$F:$F,0,Summary!N$2),'BPC Data'!$E:$E,Summary!$D420,'BPC Data'!$B:$B,Summary!$C420)</f>
        <v>585626</v>
      </c>
      <c r="O420" s="19">
        <f ca="1">SUMIFS(OFFSET('BPC Data'!$F:$F,0,Summary!O$2),'BPC Data'!$E:$E,Summary!$D420,'BPC Data'!$B:$B,Summary!$C420)</f>
        <v>595535</v>
      </c>
      <c r="P420" s="183">
        <f ca="1">SUMIFS(OFFSET('BPC Data'!$F:$F,0,Summary!P$2),'BPC Data'!$E:$E,Summary!$D420,'BPC Data'!$B:$B,Summary!$C420)</f>
        <v>618764</v>
      </c>
      <c r="Q420" s="19">
        <f ca="1">SUMIFS(OFFSET('BPC Data'!$F:$F,0,Summary!Q$2),'BPC Data'!$E:$E,Summary!$D420,'BPC Data'!$B:$B,Summary!$C420)</f>
        <v>611095</v>
      </c>
      <c r="R420" s="183">
        <f ca="1">SUMIFS(OFFSET('BPC Data'!$F:$F,0,Summary!R$2),'BPC Data'!$E:$E,Summary!$D420,'BPC Data'!$B:$B,Summary!$C420)</f>
        <v>622212</v>
      </c>
      <c r="S420" s="187">
        <f t="shared" ca="1" si="137"/>
        <v>7420123</v>
      </c>
      <c r="T420" s="181"/>
    </row>
    <row r="421" spans="1:20" s="17" customFormat="1" outlineLevel="1" x14ac:dyDescent="0.25">
      <c r="A421" s="17">
        <f t="shared" si="145"/>
        <v>38</v>
      </c>
      <c r="B421"/>
      <c r="C421" t="str">
        <f>$F416</f>
        <v>SHC at Jefferson Place Rehab &amp; Wellness Center</v>
      </c>
      <c r="D421" s="3" t="str">
        <f t="shared" si="141"/>
        <v>T_BAD_DEBT - Tenant Bad Debt Expense</v>
      </c>
      <c r="E421"/>
      <c r="F421" s="24" t="str">
        <f>_xll.EVDES(D421)</f>
        <v>Tenant Bad Debt Expense</v>
      </c>
      <c r="G421" s="19">
        <f ca="1">SUMIFS(OFFSET('BPC Data'!$F:$F,0,Summary!G$2),'BPC Data'!$E:$E,Summary!$D421,'BPC Data'!$B:$B,Summary!$C421)</f>
        <v>15000</v>
      </c>
      <c r="H421" s="183">
        <f ca="1">SUMIFS(OFFSET('BPC Data'!$F:$F,0,Summary!H$2),'BPC Data'!$E:$E,Summary!$D421,'BPC Data'!$B:$B,Summary!$C421)</f>
        <v>25000</v>
      </c>
      <c r="I421" s="19">
        <f ca="1">SUMIFS(OFFSET('BPC Data'!$F:$F,0,Summary!I$2),'BPC Data'!$E:$E,Summary!$D421,'BPC Data'!$B:$B,Summary!$C421)</f>
        <v>25000</v>
      </c>
      <c r="J421" s="183">
        <f ca="1">SUMIFS(OFFSET('BPC Data'!$F:$F,0,Summary!J$2),'BPC Data'!$E:$E,Summary!$D421,'BPC Data'!$B:$B,Summary!$C421)</f>
        <v>30100</v>
      </c>
      <c r="K421" s="19">
        <f ca="1">SUMIFS(OFFSET('BPC Data'!$F:$F,0,Summary!K$2),'BPC Data'!$E:$E,Summary!$D421,'BPC Data'!$B:$B,Summary!$C421)</f>
        <v>12500</v>
      </c>
      <c r="L421" s="183">
        <f ca="1">SUMIFS(OFFSET('BPC Data'!$F:$F,0,Summary!L$2),'BPC Data'!$E:$E,Summary!$D421,'BPC Data'!$B:$B,Summary!$C421)</f>
        <v>10000</v>
      </c>
      <c r="M421" s="19">
        <f ca="1">SUMIFS(OFFSET('BPC Data'!$F:$F,0,Summary!M$2),'BPC Data'!$E:$E,Summary!$D421,'BPC Data'!$B:$B,Summary!$C421)</f>
        <v>0</v>
      </c>
      <c r="N421" s="183">
        <f ca="1">SUMIFS(OFFSET('BPC Data'!$F:$F,0,Summary!N$2),'BPC Data'!$E:$E,Summary!$D421,'BPC Data'!$B:$B,Summary!$C421)</f>
        <v>5000</v>
      </c>
      <c r="O421" s="19">
        <f ca="1">SUMIFS(OFFSET('BPC Data'!$F:$F,0,Summary!O$2),'BPC Data'!$E:$E,Summary!$D421,'BPC Data'!$B:$B,Summary!$C421)</f>
        <v>0</v>
      </c>
      <c r="P421" s="183">
        <f ca="1">SUMIFS(OFFSET('BPC Data'!$F:$F,0,Summary!P$2),'BPC Data'!$E:$E,Summary!$D421,'BPC Data'!$B:$B,Summary!$C421)</f>
        <v>12500</v>
      </c>
      <c r="Q421" s="19">
        <f ca="1">SUMIFS(OFFSET('BPC Data'!$F:$F,0,Summary!Q$2),'BPC Data'!$E:$E,Summary!$D421,'BPC Data'!$B:$B,Summary!$C421)</f>
        <v>5000</v>
      </c>
      <c r="R421" s="183">
        <f ca="1">SUMIFS(OFFSET('BPC Data'!$F:$F,0,Summary!R$2),'BPC Data'!$E:$E,Summary!$D421,'BPC Data'!$B:$B,Summary!$C421)</f>
        <v>5000</v>
      </c>
      <c r="S421" s="187">
        <f t="shared" ca="1" si="137"/>
        <v>145100</v>
      </c>
      <c r="T421" s="181"/>
    </row>
    <row r="422" spans="1:20" s="17" customFormat="1" outlineLevel="1" x14ac:dyDescent="0.25">
      <c r="A422" s="17">
        <f t="shared" si="145"/>
        <v>38</v>
      </c>
      <c r="B422"/>
      <c r="C422" t="str">
        <f>$F416</f>
        <v>SHC at Jefferson Place Rehab &amp; Wellness Center</v>
      </c>
      <c r="D422" s="2" t="str">
        <f t="shared" si="141"/>
        <v>T_EBITDARM - EBITDARM</v>
      </c>
      <c r="E422"/>
      <c r="F422" s="24" t="str">
        <f>_xll.EVDES(D422)</f>
        <v>EBITDARM</v>
      </c>
      <c r="G422" s="19">
        <f ca="1">SUMIFS(OFFSET('BPC Data'!$F:$F,0,Summary!G$2),'BPC Data'!$E:$E,Summary!$D422,'BPC Data'!$B:$B,Summary!$C422)</f>
        <v>9677</v>
      </c>
      <c r="H422" s="183">
        <f ca="1">SUMIFS(OFFSET('BPC Data'!$F:$F,0,Summary!H$2),'BPC Data'!$E:$E,Summary!$D422,'BPC Data'!$B:$B,Summary!$C422)</f>
        <v>103564</v>
      </c>
      <c r="I422" s="19">
        <f ca="1">SUMIFS(OFFSET('BPC Data'!$F:$F,0,Summary!I$2),'BPC Data'!$E:$E,Summary!$D422,'BPC Data'!$B:$B,Summary!$C422)</f>
        <v>105971</v>
      </c>
      <c r="J422" s="183">
        <f ca="1">SUMIFS(OFFSET('BPC Data'!$F:$F,0,Summary!J$2),'BPC Data'!$E:$E,Summary!$D422,'BPC Data'!$B:$B,Summary!$C422)</f>
        <v>334720</v>
      </c>
      <c r="K422" s="19">
        <f ca="1">SUMIFS(OFFSET('BPC Data'!$F:$F,0,Summary!K$2),'BPC Data'!$E:$E,Summary!$D422,'BPC Data'!$B:$B,Summary!$C422)</f>
        <v>106126</v>
      </c>
      <c r="L422" s="183">
        <f ca="1">SUMIFS(OFFSET('BPC Data'!$F:$F,0,Summary!L$2),'BPC Data'!$E:$E,Summary!$D422,'BPC Data'!$B:$B,Summary!$C422)</f>
        <v>98741</v>
      </c>
      <c r="M422" s="19">
        <f ca="1">SUMIFS(OFFSET('BPC Data'!$F:$F,0,Summary!M$2),'BPC Data'!$E:$E,Summary!$D422,'BPC Data'!$B:$B,Summary!$C422)</f>
        <v>93971</v>
      </c>
      <c r="N422" s="183">
        <f ca="1">SUMIFS(OFFSET('BPC Data'!$F:$F,0,Summary!N$2),'BPC Data'!$E:$E,Summary!$D422,'BPC Data'!$B:$B,Summary!$C422)</f>
        <v>87427</v>
      </c>
      <c r="O422" s="19">
        <f ca="1">SUMIFS(OFFSET('BPC Data'!$F:$F,0,Summary!O$2),'BPC Data'!$E:$E,Summary!$D422,'BPC Data'!$B:$B,Summary!$C422)</f>
        <v>189947</v>
      </c>
      <c r="P422" s="183">
        <f ca="1">SUMIFS(OFFSET('BPC Data'!$F:$F,0,Summary!P$2),'BPC Data'!$E:$E,Summary!$D422,'BPC Data'!$B:$B,Summary!$C422)</f>
        <v>133958</v>
      </c>
      <c r="Q422" s="19">
        <f ca="1">SUMIFS(OFFSET('BPC Data'!$F:$F,0,Summary!Q$2),'BPC Data'!$E:$E,Summary!$D422,'BPC Data'!$B:$B,Summary!$C422)</f>
        <v>125453</v>
      </c>
      <c r="R422" s="183">
        <f ca="1">SUMIFS(OFFSET('BPC Data'!$F:$F,0,Summary!R$2),'BPC Data'!$E:$E,Summary!$D422,'BPC Data'!$B:$B,Summary!$C422)</f>
        <v>156291</v>
      </c>
      <c r="S422" s="187">
        <f t="shared" ca="1" si="137"/>
        <v>1545846</v>
      </c>
      <c r="T422" s="181"/>
    </row>
    <row r="423" spans="1:20" s="17" customFormat="1" outlineLevel="1" x14ac:dyDescent="0.25">
      <c r="A423" s="17">
        <f t="shared" si="145"/>
        <v>38</v>
      </c>
      <c r="B423"/>
      <c r="C423" t="str">
        <f>$F416</f>
        <v>SHC at Jefferson Place Rehab &amp; Wellness Center</v>
      </c>
      <c r="D423" s="2" t="str">
        <f t="shared" si="141"/>
        <v>T_MGMT_FEE - Tenant Management Fee - Actual</v>
      </c>
      <c r="E423"/>
      <c r="F423" s="24" t="str">
        <f>_xll.EVDES(D423)</f>
        <v>Tenant Management Fee - Actual</v>
      </c>
      <c r="G423" s="19">
        <f ca="1">SUMIFS(OFFSET('BPC Data'!$F:$F,0,Summary!G$2),'BPC Data'!$E:$E,Summary!$D423,'BPC Data'!$B:$B,Summary!$C423)</f>
        <v>26506</v>
      </c>
      <c r="H423" s="183">
        <f ca="1">SUMIFS(OFFSET('BPC Data'!$F:$F,0,Summary!H$2),'BPC Data'!$E:$E,Summary!$D423,'BPC Data'!$B:$B,Summary!$C423)</f>
        <v>36226</v>
      </c>
      <c r="I423" s="19">
        <f ca="1">SUMIFS(OFFSET('BPC Data'!$F:$F,0,Summary!I$2),'BPC Data'!$E:$E,Summary!$D423,'BPC Data'!$B:$B,Summary!$C423)</f>
        <v>35842</v>
      </c>
      <c r="J423" s="183">
        <f ca="1">SUMIFS(OFFSET('BPC Data'!$F:$F,0,Summary!J$2),'BPC Data'!$E:$E,Summary!$D423,'BPC Data'!$B:$B,Summary!$C423)</f>
        <v>70892</v>
      </c>
      <c r="K423" s="19">
        <f ca="1">SUMIFS(OFFSET('BPC Data'!$F:$F,0,Summary!K$2),'BPC Data'!$E:$E,Summary!$D423,'BPC Data'!$B:$B,Summary!$C423)</f>
        <v>34047</v>
      </c>
      <c r="L423" s="183">
        <f ca="1">SUMIFS(OFFSET('BPC Data'!$F:$F,0,Summary!L$2),'BPC Data'!$E:$E,Summary!$D423,'BPC Data'!$B:$B,Summary!$C423)</f>
        <v>32100</v>
      </c>
      <c r="M423" s="19">
        <f ca="1">SUMIFS(OFFSET('BPC Data'!$F:$F,0,Summary!M$2),'BPC Data'!$E:$E,Summary!$D423,'BPC Data'!$B:$B,Summary!$C423)</f>
        <v>36064</v>
      </c>
      <c r="N423" s="183">
        <f ca="1">SUMIFS(OFFSET('BPC Data'!$F:$F,0,Summary!N$2),'BPC Data'!$E:$E,Summary!$D423,'BPC Data'!$B:$B,Summary!$C423)</f>
        <v>33989</v>
      </c>
      <c r="O423" s="19">
        <f ca="1">SUMIFS(OFFSET('BPC Data'!$F:$F,0,Summary!O$2),'BPC Data'!$E:$E,Summary!$D423,'BPC Data'!$B:$B,Summary!$C423)</f>
        <v>39667</v>
      </c>
      <c r="P423" s="183">
        <f ca="1">SUMIFS(OFFSET('BPC Data'!$F:$F,0,Summary!P$2),'BPC Data'!$E:$E,Summary!$D423,'BPC Data'!$B:$B,Summary!$C423)</f>
        <v>38012</v>
      </c>
      <c r="Q423" s="19">
        <f ca="1">SUMIFS(OFFSET('BPC Data'!$F:$F,0,Summary!Q$2),'BPC Data'!$E:$E,Summary!$D423,'BPC Data'!$B:$B,Summary!$C423)</f>
        <v>37196</v>
      </c>
      <c r="R423" s="183">
        <f ca="1">SUMIFS(OFFSET('BPC Data'!$F:$F,0,Summary!R$2),'BPC Data'!$E:$E,Summary!$D423,'BPC Data'!$B:$B,Summary!$C423)</f>
        <v>39314</v>
      </c>
      <c r="S423" s="187">
        <f t="shared" ca="1" si="137"/>
        <v>459855</v>
      </c>
      <c r="T423" s="181"/>
    </row>
    <row r="424" spans="1:20" s="17" customFormat="1" outlineLevel="1" x14ac:dyDescent="0.25">
      <c r="A424" s="17">
        <f t="shared" si="145"/>
        <v>38</v>
      </c>
      <c r="B424"/>
      <c r="C424" t="str">
        <f>$F416</f>
        <v>SHC at Jefferson Place Rehab &amp; Wellness Center</v>
      </c>
      <c r="D424" s="1" t="str">
        <f t="shared" si="141"/>
        <v>T_EBITDAR - EBITDAR</v>
      </c>
      <c r="E424"/>
      <c r="F424" s="24" t="str">
        <f>_xll.EVDES(D424)</f>
        <v>EBITDAR</v>
      </c>
      <c r="G424" s="19">
        <f ca="1">SUMIFS(OFFSET('BPC Data'!$F:$F,0,Summary!G$2),'BPC Data'!$E:$E,Summary!$D424,'BPC Data'!$B:$B,Summary!$C424)</f>
        <v>-16829</v>
      </c>
      <c r="H424" s="183">
        <f ca="1">SUMIFS(OFFSET('BPC Data'!$F:$F,0,Summary!H$2),'BPC Data'!$E:$E,Summary!$D424,'BPC Data'!$B:$B,Summary!$C424)</f>
        <v>67338</v>
      </c>
      <c r="I424" s="19">
        <f ca="1">SUMIFS(OFFSET('BPC Data'!$F:$F,0,Summary!I$2),'BPC Data'!$E:$E,Summary!$D424,'BPC Data'!$B:$B,Summary!$C424)</f>
        <v>70129</v>
      </c>
      <c r="J424" s="183">
        <f ca="1">SUMIFS(OFFSET('BPC Data'!$F:$F,0,Summary!J$2),'BPC Data'!$E:$E,Summary!$D424,'BPC Data'!$B:$B,Summary!$C424)</f>
        <v>263828</v>
      </c>
      <c r="K424" s="19">
        <f ca="1">SUMIFS(OFFSET('BPC Data'!$F:$F,0,Summary!K$2),'BPC Data'!$E:$E,Summary!$D424,'BPC Data'!$B:$B,Summary!$C424)</f>
        <v>72079</v>
      </c>
      <c r="L424" s="183">
        <f ca="1">SUMIFS(OFFSET('BPC Data'!$F:$F,0,Summary!L$2),'BPC Data'!$E:$E,Summary!$D424,'BPC Data'!$B:$B,Summary!$C424)</f>
        <v>66641</v>
      </c>
      <c r="M424" s="19">
        <f ca="1">SUMIFS(OFFSET('BPC Data'!$F:$F,0,Summary!M$2),'BPC Data'!$E:$E,Summary!$D424,'BPC Data'!$B:$B,Summary!$C424)</f>
        <v>57907</v>
      </c>
      <c r="N424" s="183">
        <f ca="1">SUMIFS(OFFSET('BPC Data'!$F:$F,0,Summary!N$2),'BPC Data'!$E:$E,Summary!$D424,'BPC Data'!$B:$B,Summary!$C424)</f>
        <v>53438</v>
      </c>
      <c r="O424" s="19">
        <f ca="1">SUMIFS(OFFSET('BPC Data'!$F:$F,0,Summary!O$2),'BPC Data'!$E:$E,Summary!$D424,'BPC Data'!$B:$B,Summary!$C424)</f>
        <v>150280</v>
      </c>
      <c r="P424" s="183">
        <f ca="1">SUMIFS(OFFSET('BPC Data'!$F:$F,0,Summary!P$2),'BPC Data'!$E:$E,Summary!$D424,'BPC Data'!$B:$B,Summary!$C424)</f>
        <v>95946</v>
      </c>
      <c r="Q424" s="19">
        <f ca="1">SUMIFS(OFFSET('BPC Data'!$F:$F,0,Summary!Q$2),'BPC Data'!$E:$E,Summary!$D424,'BPC Data'!$B:$B,Summary!$C424)</f>
        <v>88257</v>
      </c>
      <c r="R424" s="183">
        <f ca="1">SUMIFS(OFFSET('BPC Data'!$F:$F,0,Summary!R$2),'BPC Data'!$E:$E,Summary!$D424,'BPC Data'!$B:$B,Summary!$C424)</f>
        <v>116977</v>
      </c>
      <c r="S424" s="187">
        <f t="shared" ca="1" si="137"/>
        <v>1085991</v>
      </c>
      <c r="T424" s="181"/>
    </row>
    <row r="425" spans="1:20" s="17" customFormat="1" outlineLevel="1" x14ac:dyDescent="0.25">
      <c r="A425" s="17">
        <f t="shared" si="145"/>
        <v>38</v>
      </c>
      <c r="B425"/>
      <c r="C425" t="str">
        <f>$F416</f>
        <v>SHC at Jefferson Place Rehab &amp; Wellness Center</v>
      </c>
      <c r="D425" s="1" t="str">
        <f t="shared" si="141"/>
        <v>T_RENT_EXP - Tenant Rent Expense</v>
      </c>
      <c r="E425"/>
      <c r="F425" s="24" t="str">
        <f>_xll.EVDES(D425)</f>
        <v>Tenant Rent Expense</v>
      </c>
      <c r="G425" s="19">
        <f ca="1">SUMIFS(OFFSET('BPC Data'!$F:$F,0,Summary!G$2),'BPC Data'!$E:$E,Summary!$D425,'BPC Data'!$B:$B,Summary!$C425)</f>
        <v>75428</v>
      </c>
      <c r="H425" s="183">
        <f ca="1">SUMIFS(OFFSET('BPC Data'!$F:$F,0,Summary!H$2),'BPC Data'!$E:$E,Summary!$D425,'BPC Data'!$B:$B,Summary!$C425)</f>
        <v>75428</v>
      </c>
      <c r="I425" s="19">
        <f ca="1">SUMIFS(OFFSET('BPC Data'!$F:$F,0,Summary!I$2),'BPC Data'!$E:$E,Summary!$D425,'BPC Data'!$B:$B,Summary!$C425)</f>
        <v>75428</v>
      </c>
      <c r="J425" s="183">
        <f ca="1">SUMIFS(OFFSET('BPC Data'!$F:$F,0,Summary!J$2),'BPC Data'!$E:$E,Summary!$D425,'BPC Data'!$B:$B,Summary!$C425)</f>
        <v>77313</v>
      </c>
      <c r="K425" s="19">
        <f ca="1">SUMIFS(OFFSET('BPC Data'!$F:$F,0,Summary!K$2),'BPC Data'!$E:$E,Summary!$D425,'BPC Data'!$B:$B,Summary!$C425)</f>
        <v>77313</v>
      </c>
      <c r="L425" s="183">
        <f ca="1">SUMIFS(OFFSET('BPC Data'!$F:$F,0,Summary!L$2),'BPC Data'!$E:$E,Summary!$D425,'BPC Data'!$B:$B,Summary!$C425)</f>
        <v>77313</v>
      </c>
      <c r="M425" s="19">
        <f ca="1">SUMIFS(OFFSET('BPC Data'!$F:$F,0,Summary!M$2),'BPC Data'!$E:$E,Summary!$D425,'BPC Data'!$B:$B,Summary!$C425)</f>
        <v>77313</v>
      </c>
      <c r="N425" s="183">
        <f ca="1">SUMIFS(OFFSET('BPC Data'!$F:$F,0,Summary!N$2),'BPC Data'!$E:$E,Summary!$D425,'BPC Data'!$B:$B,Summary!$C425)</f>
        <v>77313</v>
      </c>
      <c r="O425" s="19">
        <f ca="1">SUMIFS(OFFSET('BPC Data'!$F:$F,0,Summary!O$2),'BPC Data'!$E:$E,Summary!$D425,'BPC Data'!$B:$B,Summary!$C425)</f>
        <v>77313</v>
      </c>
      <c r="P425" s="183">
        <f ca="1">SUMIFS(OFFSET('BPC Data'!$F:$F,0,Summary!P$2),'BPC Data'!$E:$E,Summary!$D425,'BPC Data'!$B:$B,Summary!$C425)</f>
        <v>77313</v>
      </c>
      <c r="Q425" s="19">
        <f ca="1">SUMIFS(OFFSET('BPC Data'!$F:$F,0,Summary!Q$2),'BPC Data'!$E:$E,Summary!$D425,'BPC Data'!$B:$B,Summary!$C425)</f>
        <v>77313</v>
      </c>
      <c r="R425" s="183">
        <f ca="1">SUMIFS(OFFSET('BPC Data'!$F:$F,0,Summary!R$2),'BPC Data'!$E:$E,Summary!$D425,'BPC Data'!$B:$B,Summary!$C425)</f>
        <v>77313</v>
      </c>
      <c r="S425" s="187">
        <f t="shared" ca="1" si="137"/>
        <v>922101</v>
      </c>
      <c r="T425" s="181"/>
    </row>
    <row r="426" spans="1:20" s="17" customFormat="1" outlineLevel="1" x14ac:dyDescent="0.25">
      <c r="A426" s="17">
        <f t="shared" si="145"/>
        <v>38</v>
      </c>
      <c r="B426"/>
      <c r="C426"/>
      <c r="D426" s="1" t="str">
        <f t="shared" si="141"/>
        <v>x</v>
      </c>
      <c r="E426"/>
      <c r="F426" s="24" t="s">
        <v>0</v>
      </c>
      <c r="G426" s="12">
        <f ca="1">G424/G425</f>
        <v>-0.22311343267752029</v>
      </c>
      <c r="H426" s="184">
        <f t="shared" ref="H426:I426" ca="1" si="146">H424/H425</f>
        <v>0.89274539958636046</v>
      </c>
      <c r="I426" s="12">
        <f t="shared" ca="1" si="146"/>
        <v>0.92974757384525641</v>
      </c>
      <c r="J426" s="184">
        <f t="shared" ref="J426:R426" ca="1" si="147">J424/J425</f>
        <v>3.4124662087876554</v>
      </c>
      <c r="K426" s="12">
        <f t="shared" ca="1" si="147"/>
        <v>0.93230116539262475</v>
      </c>
      <c r="L426" s="184">
        <f t="shared" ca="1" si="147"/>
        <v>0.86196370597441574</v>
      </c>
      <c r="M426" s="12">
        <f t="shared" ca="1" si="147"/>
        <v>0.74899434765175321</v>
      </c>
      <c r="N426" s="184">
        <f t="shared" ca="1" si="147"/>
        <v>0.69119035608500512</v>
      </c>
      <c r="O426" s="12">
        <f t="shared" ca="1" si="147"/>
        <v>1.9437869439809605</v>
      </c>
      <c r="P426" s="184">
        <f t="shared" ca="1" si="147"/>
        <v>1.241007333824842</v>
      </c>
      <c r="Q426" s="12">
        <f t="shared" ca="1" si="147"/>
        <v>1.1415544604400294</v>
      </c>
      <c r="R426" s="184">
        <f t="shared" ca="1" si="147"/>
        <v>1.5130314436123291</v>
      </c>
      <c r="S426" s="187">
        <f t="shared" ca="1" si="137"/>
        <v>14.08567550650371</v>
      </c>
      <c r="T426" s="181"/>
    </row>
    <row r="427" spans="1:20" s="17" customFormat="1" outlineLevel="1" x14ac:dyDescent="0.25">
      <c r="A427" s="17">
        <f>IF(AND(D427&lt;&gt;"",C427=""),A426+1,A426)</f>
        <v>39</v>
      </c>
      <c r="B427" s="5"/>
      <c r="C427" s="5"/>
      <c r="D427" s="5" t="str">
        <f t="shared" si="141"/>
        <v>x</v>
      </c>
      <c r="E427" s="5"/>
      <c r="F427" s="23" t="str">
        <f>INDEX(PropertyList!$D:$D,MATCH(Summary!$A427,PropertyList!$C:$C,0))</f>
        <v>SHC of Monroe County Rehab &amp; Wellness Center</v>
      </c>
      <c r="G427" s="11"/>
      <c r="H427" s="182"/>
      <c r="I427" s="11"/>
      <c r="J427" s="182"/>
      <c r="K427" s="11"/>
      <c r="L427" s="182"/>
      <c r="M427" s="11"/>
      <c r="N427" s="182"/>
      <c r="O427" s="11"/>
      <c r="P427" s="182"/>
      <c r="Q427" s="11"/>
      <c r="R427" s="182"/>
      <c r="S427" s="187">
        <f t="shared" si="137"/>
        <v>0</v>
      </c>
      <c r="T427" s="181"/>
    </row>
    <row r="428" spans="1:20" s="17" customFormat="1" outlineLevel="1" x14ac:dyDescent="0.25">
      <c r="A428" s="17">
        <f>IF(AND(F428&lt;&gt;"",D428=""),A427+1,A427)</f>
        <v>39</v>
      </c>
      <c r="C428" t="str">
        <f>$F427</f>
        <v>SHC of Monroe County Rehab &amp; Wellness Center</v>
      </c>
      <c r="D428" s="3" t="str">
        <f t="shared" si="141"/>
        <v>PAY_PAT_DAYS - Total Payor Patient Days</v>
      </c>
      <c r="F428" s="24" t="str">
        <f>_xll.EVDES(D428)</f>
        <v>Total Payor Patient Days</v>
      </c>
      <c r="G428" s="19">
        <f ca="1">SUMIFS(OFFSET('BPC Data'!$F:$F,0,Summary!G$2),'BPC Data'!$E:$E,Summary!$D428,'BPC Data'!$B:$B,Summary!$C428)</f>
        <v>2945</v>
      </c>
      <c r="H428" s="183">
        <f ca="1">SUMIFS(OFFSET('BPC Data'!$F:$F,0,Summary!H$2),'BPC Data'!$E:$E,Summary!$D428,'BPC Data'!$B:$B,Summary!$C428)</f>
        <v>2964</v>
      </c>
      <c r="I428" s="19">
        <f ca="1">SUMIFS(OFFSET('BPC Data'!$F:$F,0,Summary!I$2),'BPC Data'!$E:$E,Summary!$D428,'BPC Data'!$B:$B,Summary!$C428)</f>
        <v>2395</v>
      </c>
      <c r="J428" s="183">
        <f ca="1">SUMIFS(OFFSET('BPC Data'!$F:$F,0,Summary!J$2),'BPC Data'!$E:$E,Summary!$D428,'BPC Data'!$B:$B,Summary!$C428)</f>
        <v>2300</v>
      </c>
      <c r="K428" s="19">
        <f ca="1">SUMIFS(OFFSET('BPC Data'!$F:$F,0,Summary!K$2),'BPC Data'!$E:$E,Summary!$D428,'BPC Data'!$B:$B,Summary!$C428)</f>
        <v>2513</v>
      </c>
      <c r="L428" s="183">
        <f ca="1">SUMIFS(OFFSET('BPC Data'!$F:$F,0,Summary!L$2),'BPC Data'!$E:$E,Summary!$D428,'BPC Data'!$B:$B,Summary!$C428)</f>
        <v>2245</v>
      </c>
      <c r="M428" s="19">
        <f ca="1">SUMIFS(OFFSET('BPC Data'!$F:$F,0,Summary!M$2),'BPC Data'!$E:$E,Summary!$D428,'BPC Data'!$B:$B,Summary!$C428)</f>
        <v>2626</v>
      </c>
      <c r="N428" s="183">
        <f ca="1">SUMIFS(OFFSET('BPC Data'!$F:$F,0,Summary!N$2),'BPC Data'!$E:$E,Summary!$D428,'BPC Data'!$B:$B,Summary!$C428)</f>
        <v>2682</v>
      </c>
      <c r="O428" s="19">
        <f ca="1">SUMIFS(OFFSET('BPC Data'!$F:$F,0,Summary!O$2),'BPC Data'!$E:$E,Summary!$D428,'BPC Data'!$B:$B,Summary!$C428)</f>
        <v>2809</v>
      </c>
      <c r="P428" s="183">
        <f ca="1">SUMIFS(OFFSET('BPC Data'!$F:$F,0,Summary!P$2),'BPC Data'!$E:$E,Summary!$D428,'BPC Data'!$B:$B,Summary!$C428)</f>
        <v>2751</v>
      </c>
      <c r="Q428" s="19">
        <f ca="1">SUMIFS(OFFSET('BPC Data'!$F:$F,0,Summary!Q$2),'BPC Data'!$E:$E,Summary!$D428,'BPC Data'!$B:$B,Summary!$C428)</f>
        <v>2725</v>
      </c>
      <c r="R428" s="183">
        <f ca="1">SUMIFS(OFFSET('BPC Data'!$F:$F,0,Summary!R$2),'BPC Data'!$E:$E,Summary!$D428,'BPC Data'!$B:$B,Summary!$C428)</f>
        <v>2664</v>
      </c>
      <c r="S428" s="187">
        <f t="shared" ca="1" si="137"/>
        <v>31619</v>
      </c>
      <c r="T428" s="181"/>
    </row>
    <row r="429" spans="1:20" s="17" customFormat="1" outlineLevel="1" x14ac:dyDescent="0.25">
      <c r="A429" s="17">
        <f t="shared" ref="A429:A437" si="148">IF(AND(F429&lt;&gt;"",D429=""),A428+1,A428)</f>
        <v>39</v>
      </c>
      <c r="C429" t="str">
        <f>$F427</f>
        <v>SHC of Monroe County Rehab &amp; Wellness Center</v>
      </c>
      <c r="D429" s="3" t="str">
        <f t="shared" si="141"/>
        <v>A_BEDS_TOTAL - Total Available Beds</v>
      </c>
      <c r="F429" s="24" t="str">
        <f>_xll.EVDES(D429)</f>
        <v>Total Available Beds</v>
      </c>
      <c r="G429" s="19">
        <f ca="1">SUMIFS(OFFSET('BPC Data'!$F:$F,0,Summary!G$2),'BPC Data'!$E:$E,Summary!$D429,'BPC Data'!$B:$B,Summary!$C429)</f>
        <v>104</v>
      </c>
      <c r="H429" s="183">
        <f ca="1">SUMIFS(OFFSET('BPC Data'!$F:$F,0,Summary!H$2),'BPC Data'!$E:$E,Summary!$D429,'BPC Data'!$B:$B,Summary!$C429)</f>
        <v>104</v>
      </c>
      <c r="I429" s="19">
        <f ca="1">SUMIFS(OFFSET('BPC Data'!$F:$F,0,Summary!I$2),'BPC Data'!$E:$E,Summary!$D429,'BPC Data'!$B:$B,Summary!$C429)</f>
        <v>104</v>
      </c>
      <c r="J429" s="183">
        <f ca="1">SUMIFS(OFFSET('BPC Data'!$F:$F,0,Summary!J$2),'BPC Data'!$E:$E,Summary!$D429,'BPC Data'!$B:$B,Summary!$C429)</f>
        <v>104</v>
      </c>
      <c r="K429" s="19">
        <f ca="1">SUMIFS(OFFSET('BPC Data'!$F:$F,0,Summary!K$2),'BPC Data'!$E:$E,Summary!$D429,'BPC Data'!$B:$B,Summary!$C429)</f>
        <v>104</v>
      </c>
      <c r="L429" s="183">
        <f ca="1">SUMIFS(OFFSET('BPC Data'!$F:$F,0,Summary!L$2),'BPC Data'!$E:$E,Summary!$D429,'BPC Data'!$B:$B,Summary!$C429)</f>
        <v>104</v>
      </c>
      <c r="M429" s="19">
        <f ca="1">SUMIFS(OFFSET('BPC Data'!$F:$F,0,Summary!M$2),'BPC Data'!$E:$E,Summary!$D429,'BPC Data'!$B:$B,Summary!$C429)</f>
        <v>104</v>
      </c>
      <c r="N429" s="183">
        <f ca="1">SUMIFS(OFFSET('BPC Data'!$F:$F,0,Summary!N$2),'BPC Data'!$E:$E,Summary!$D429,'BPC Data'!$B:$B,Summary!$C429)</f>
        <v>104</v>
      </c>
      <c r="O429" s="19">
        <f ca="1">SUMIFS(OFFSET('BPC Data'!$F:$F,0,Summary!O$2),'BPC Data'!$E:$E,Summary!$D429,'BPC Data'!$B:$B,Summary!$C429)</f>
        <v>104</v>
      </c>
      <c r="P429" s="183">
        <f ca="1">SUMIFS(OFFSET('BPC Data'!$F:$F,0,Summary!P$2),'BPC Data'!$E:$E,Summary!$D429,'BPC Data'!$B:$B,Summary!$C429)</f>
        <v>104</v>
      </c>
      <c r="Q429" s="19">
        <f ca="1">SUMIFS(OFFSET('BPC Data'!$F:$F,0,Summary!Q$2),'BPC Data'!$E:$E,Summary!$D429,'BPC Data'!$B:$B,Summary!$C429)</f>
        <v>104</v>
      </c>
      <c r="R429" s="183">
        <f ca="1">SUMIFS(OFFSET('BPC Data'!$F:$F,0,Summary!R$2),'BPC Data'!$E:$E,Summary!$D429,'BPC Data'!$B:$B,Summary!$C429)</f>
        <v>104</v>
      </c>
      <c r="S429" s="187">
        <f ca="1">R429</f>
        <v>104</v>
      </c>
      <c r="T429" s="181"/>
    </row>
    <row r="430" spans="1:20" s="17" customFormat="1" outlineLevel="1" x14ac:dyDescent="0.25">
      <c r="A430" s="17">
        <f t="shared" si="148"/>
        <v>39</v>
      </c>
      <c r="B430"/>
      <c r="C430" t="str">
        <f>$F427</f>
        <v>SHC of Monroe County Rehab &amp; Wellness Center</v>
      </c>
      <c r="D430" s="3" t="str">
        <f t="shared" si="141"/>
        <v>T_REVENUES - Total Tenant Revenues</v>
      </c>
      <c r="E430"/>
      <c r="F430" s="24" t="str">
        <f>_xll.EVDES(D430)</f>
        <v>Total Tenant Revenues</v>
      </c>
      <c r="G430" s="19">
        <f ca="1">SUMIFS(OFFSET('BPC Data'!$F:$F,0,Summary!G$2),'BPC Data'!$E:$E,Summary!$D430,'BPC Data'!$B:$B,Summary!$C430)</f>
        <v>704892</v>
      </c>
      <c r="H430" s="183">
        <f ca="1">SUMIFS(OFFSET('BPC Data'!$F:$F,0,Summary!H$2),'BPC Data'!$E:$E,Summary!$D430,'BPC Data'!$B:$B,Summary!$C430)</f>
        <v>765268</v>
      </c>
      <c r="I430" s="19">
        <f ca="1">SUMIFS(OFFSET('BPC Data'!$F:$F,0,Summary!I$2),'BPC Data'!$E:$E,Summary!$D430,'BPC Data'!$B:$B,Summary!$C430)</f>
        <v>963700</v>
      </c>
      <c r="J430" s="183">
        <f ca="1">SUMIFS(OFFSET('BPC Data'!$F:$F,0,Summary!J$2),'BPC Data'!$E:$E,Summary!$D430,'BPC Data'!$B:$B,Summary!$C430)</f>
        <v>974149</v>
      </c>
      <c r="K430" s="19">
        <f ca="1">SUMIFS(OFFSET('BPC Data'!$F:$F,0,Summary!K$2),'BPC Data'!$E:$E,Summary!$D430,'BPC Data'!$B:$B,Summary!$C430)</f>
        <v>815741</v>
      </c>
      <c r="L430" s="183">
        <f ca="1">SUMIFS(OFFSET('BPC Data'!$F:$F,0,Summary!L$2),'BPC Data'!$E:$E,Summary!$D430,'BPC Data'!$B:$B,Summary!$C430)</f>
        <v>686707</v>
      </c>
      <c r="M430" s="19">
        <f ca="1">SUMIFS(OFFSET('BPC Data'!$F:$F,0,Summary!M$2),'BPC Data'!$E:$E,Summary!$D430,'BPC Data'!$B:$B,Summary!$C430)</f>
        <v>856308</v>
      </c>
      <c r="N430" s="183">
        <f ca="1">SUMIFS(OFFSET('BPC Data'!$F:$F,0,Summary!N$2),'BPC Data'!$E:$E,Summary!$D430,'BPC Data'!$B:$B,Summary!$C430)</f>
        <v>759442</v>
      </c>
      <c r="O430" s="19">
        <f ca="1">SUMIFS(OFFSET('BPC Data'!$F:$F,0,Summary!O$2),'BPC Data'!$E:$E,Summary!$D430,'BPC Data'!$B:$B,Summary!$C430)</f>
        <v>766298</v>
      </c>
      <c r="P430" s="183">
        <f ca="1">SUMIFS(OFFSET('BPC Data'!$F:$F,0,Summary!P$2),'BPC Data'!$E:$E,Summary!$D430,'BPC Data'!$B:$B,Summary!$C430)</f>
        <v>745223</v>
      </c>
      <c r="Q430" s="19">
        <f ca="1">SUMIFS(OFFSET('BPC Data'!$F:$F,0,Summary!Q$2),'BPC Data'!$E:$E,Summary!$D430,'BPC Data'!$B:$B,Summary!$C430)</f>
        <v>772683</v>
      </c>
      <c r="R430" s="183">
        <f ca="1">SUMIFS(OFFSET('BPC Data'!$F:$F,0,Summary!R$2),'BPC Data'!$E:$E,Summary!$D430,'BPC Data'!$B:$B,Summary!$C430)</f>
        <v>765236</v>
      </c>
      <c r="S430" s="187">
        <f t="shared" ca="1" si="137"/>
        <v>9575647</v>
      </c>
      <c r="T430" s="181"/>
    </row>
    <row r="431" spans="1:20" s="17" customFormat="1" outlineLevel="1" x14ac:dyDescent="0.25">
      <c r="A431" s="17">
        <f t="shared" si="148"/>
        <v>39</v>
      </c>
      <c r="B431"/>
      <c r="C431" t="str">
        <f>$F427</f>
        <v>SHC of Monroe County Rehab &amp; Wellness Center</v>
      </c>
      <c r="D431" s="3" t="str">
        <f t="shared" si="141"/>
        <v>T_OPEX - Tenant Operating Expenses</v>
      </c>
      <c r="E431"/>
      <c r="F431" s="24" t="str">
        <f>_xll.EVDES(D431)</f>
        <v>Tenant Operating Expenses</v>
      </c>
      <c r="G431" s="19">
        <f ca="1">SUMIFS(OFFSET('BPC Data'!$F:$F,0,Summary!G$2),'BPC Data'!$E:$E,Summary!$D431,'BPC Data'!$B:$B,Summary!$C431)</f>
        <v>577607</v>
      </c>
      <c r="H431" s="183">
        <f ca="1">SUMIFS(OFFSET('BPC Data'!$F:$F,0,Summary!H$2),'BPC Data'!$E:$E,Summary!$D431,'BPC Data'!$B:$B,Summary!$C431)</f>
        <v>594300</v>
      </c>
      <c r="I431" s="19">
        <f ca="1">SUMIFS(OFFSET('BPC Data'!$F:$F,0,Summary!I$2),'BPC Data'!$E:$E,Summary!$D431,'BPC Data'!$B:$B,Summary!$C431)</f>
        <v>630885</v>
      </c>
      <c r="J431" s="183">
        <f ca="1">SUMIFS(OFFSET('BPC Data'!$F:$F,0,Summary!J$2),'BPC Data'!$E:$E,Summary!$D431,'BPC Data'!$B:$B,Summary!$C431)</f>
        <v>958998</v>
      </c>
      <c r="K431" s="19">
        <f ca="1">SUMIFS(OFFSET('BPC Data'!$F:$F,0,Summary!K$2),'BPC Data'!$E:$E,Summary!$D431,'BPC Data'!$B:$B,Summary!$C431)</f>
        <v>644068</v>
      </c>
      <c r="L431" s="183">
        <f ca="1">SUMIFS(OFFSET('BPC Data'!$F:$F,0,Summary!L$2),'BPC Data'!$E:$E,Summary!$D431,'BPC Data'!$B:$B,Summary!$C431)</f>
        <v>512802</v>
      </c>
      <c r="M431" s="19">
        <f ca="1">SUMIFS(OFFSET('BPC Data'!$F:$F,0,Summary!M$2),'BPC Data'!$E:$E,Summary!$D431,'BPC Data'!$B:$B,Summary!$C431)</f>
        <v>585567</v>
      </c>
      <c r="N431" s="183">
        <f ca="1">SUMIFS(OFFSET('BPC Data'!$F:$F,0,Summary!N$2),'BPC Data'!$E:$E,Summary!$D431,'BPC Data'!$B:$B,Summary!$C431)</f>
        <v>538855</v>
      </c>
      <c r="O431" s="19">
        <f ca="1">SUMIFS(OFFSET('BPC Data'!$F:$F,0,Summary!O$2),'BPC Data'!$E:$E,Summary!$D431,'BPC Data'!$B:$B,Summary!$C431)</f>
        <v>636886</v>
      </c>
      <c r="P431" s="183">
        <f ca="1">SUMIFS(OFFSET('BPC Data'!$F:$F,0,Summary!P$2),'BPC Data'!$E:$E,Summary!$D431,'BPC Data'!$B:$B,Summary!$C431)</f>
        <v>602470</v>
      </c>
      <c r="Q431" s="19">
        <f ca="1">SUMIFS(OFFSET('BPC Data'!$F:$F,0,Summary!Q$2),'BPC Data'!$E:$E,Summary!$D431,'BPC Data'!$B:$B,Summary!$C431)</f>
        <v>618710</v>
      </c>
      <c r="R431" s="183">
        <f ca="1">SUMIFS(OFFSET('BPC Data'!$F:$F,0,Summary!R$2),'BPC Data'!$E:$E,Summary!$D431,'BPC Data'!$B:$B,Summary!$C431)</f>
        <v>591508</v>
      </c>
      <c r="S431" s="187">
        <f t="shared" ca="1" si="137"/>
        <v>7492656</v>
      </c>
      <c r="T431" s="181"/>
    </row>
    <row r="432" spans="1:20" s="17" customFormat="1" outlineLevel="1" x14ac:dyDescent="0.25">
      <c r="A432" s="17">
        <f t="shared" si="148"/>
        <v>39</v>
      </c>
      <c r="B432"/>
      <c r="C432" t="str">
        <f>$F427</f>
        <v>SHC of Monroe County Rehab &amp; Wellness Center</v>
      </c>
      <c r="D432" s="3" t="str">
        <f t="shared" si="141"/>
        <v>T_BAD_DEBT - Tenant Bad Debt Expense</v>
      </c>
      <c r="E432"/>
      <c r="F432" s="24" t="str">
        <f>_xll.EVDES(D432)</f>
        <v>Tenant Bad Debt Expense</v>
      </c>
      <c r="G432" s="19">
        <f ca="1">SUMIFS(OFFSET('BPC Data'!$F:$F,0,Summary!G$2),'BPC Data'!$E:$E,Summary!$D432,'BPC Data'!$B:$B,Summary!$C432)</f>
        <v>7500</v>
      </c>
      <c r="H432" s="183">
        <f ca="1">SUMIFS(OFFSET('BPC Data'!$F:$F,0,Summary!H$2),'BPC Data'!$E:$E,Summary!$D432,'BPC Data'!$B:$B,Summary!$C432)</f>
        <v>9592</v>
      </c>
      <c r="I432" s="19">
        <f ca="1">SUMIFS(OFFSET('BPC Data'!$F:$F,0,Summary!I$2),'BPC Data'!$E:$E,Summary!$D432,'BPC Data'!$B:$B,Summary!$C432)</f>
        <v>15000</v>
      </c>
      <c r="J432" s="183">
        <f ca="1">SUMIFS(OFFSET('BPC Data'!$F:$F,0,Summary!J$2),'BPC Data'!$E:$E,Summary!$D432,'BPC Data'!$B:$B,Summary!$C432)</f>
        <v>59228</v>
      </c>
      <c r="K432" s="19">
        <f ca="1">SUMIFS(OFFSET('BPC Data'!$F:$F,0,Summary!K$2),'BPC Data'!$E:$E,Summary!$D432,'BPC Data'!$B:$B,Summary!$C432)</f>
        <v>20000</v>
      </c>
      <c r="L432" s="183">
        <f ca="1">SUMIFS(OFFSET('BPC Data'!$F:$F,0,Summary!L$2),'BPC Data'!$E:$E,Summary!$D432,'BPC Data'!$B:$B,Summary!$C432)</f>
        <v>15000</v>
      </c>
      <c r="M432" s="19">
        <f ca="1">SUMIFS(OFFSET('BPC Data'!$F:$F,0,Summary!M$2),'BPC Data'!$E:$E,Summary!$D432,'BPC Data'!$B:$B,Summary!$C432)</f>
        <v>0</v>
      </c>
      <c r="N432" s="183">
        <f ca="1">SUMIFS(OFFSET('BPC Data'!$F:$F,0,Summary!N$2),'BPC Data'!$E:$E,Summary!$D432,'BPC Data'!$B:$B,Summary!$C432)</f>
        <v>5000</v>
      </c>
      <c r="O432" s="19">
        <f ca="1">SUMIFS(OFFSET('BPC Data'!$F:$F,0,Summary!O$2),'BPC Data'!$E:$E,Summary!$D432,'BPC Data'!$B:$B,Summary!$C432)</f>
        <v>0</v>
      </c>
      <c r="P432" s="183">
        <f ca="1">SUMIFS(OFFSET('BPC Data'!$F:$F,0,Summary!P$2),'BPC Data'!$E:$E,Summary!$D432,'BPC Data'!$B:$B,Summary!$C432)</f>
        <v>16000</v>
      </c>
      <c r="Q432" s="19">
        <f ca="1">SUMIFS(OFFSET('BPC Data'!$F:$F,0,Summary!Q$2),'BPC Data'!$E:$E,Summary!$D432,'BPC Data'!$B:$B,Summary!$C432)</f>
        <v>15000</v>
      </c>
      <c r="R432" s="183">
        <f ca="1">SUMIFS(OFFSET('BPC Data'!$F:$F,0,Summary!R$2),'BPC Data'!$E:$E,Summary!$D432,'BPC Data'!$B:$B,Summary!$C432)</f>
        <v>7500</v>
      </c>
      <c r="S432" s="187">
        <f t="shared" ca="1" si="137"/>
        <v>169820</v>
      </c>
      <c r="T432" s="181"/>
    </row>
    <row r="433" spans="1:20" s="17" customFormat="1" outlineLevel="1" x14ac:dyDescent="0.25">
      <c r="A433" s="17">
        <f t="shared" si="148"/>
        <v>39</v>
      </c>
      <c r="B433"/>
      <c r="C433" t="str">
        <f>$F427</f>
        <v>SHC of Monroe County Rehab &amp; Wellness Center</v>
      </c>
      <c r="D433" s="2" t="str">
        <f t="shared" si="141"/>
        <v>T_EBITDARM - EBITDARM</v>
      </c>
      <c r="E433"/>
      <c r="F433" s="24" t="str">
        <f>_xll.EVDES(D433)</f>
        <v>EBITDARM</v>
      </c>
      <c r="G433" s="19">
        <f ca="1">SUMIFS(OFFSET('BPC Data'!$F:$F,0,Summary!G$2),'BPC Data'!$E:$E,Summary!$D433,'BPC Data'!$B:$B,Summary!$C433)</f>
        <v>127285</v>
      </c>
      <c r="H433" s="183">
        <f ca="1">SUMIFS(OFFSET('BPC Data'!$F:$F,0,Summary!H$2),'BPC Data'!$E:$E,Summary!$D433,'BPC Data'!$B:$B,Summary!$C433)</f>
        <v>170968</v>
      </c>
      <c r="I433" s="19">
        <f ca="1">SUMIFS(OFFSET('BPC Data'!$F:$F,0,Summary!I$2),'BPC Data'!$E:$E,Summary!$D433,'BPC Data'!$B:$B,Summary!$C433)</f>
        <v>332815</v>
      </c>
      <c r="J433" s="183">
        <f ca="1">SUMIFS(OFFSET('BPC Data'!$F:$F,0,Summary!J$2),'BPC Data'!$E:$E,Summary!$D433,'BPC Data'!$B:$B,Summary!$C433)</f>
        <v>15151</v>
      </c>
      <c r="K433" s="19">
        <f ca="1">SUMIFS(OFFSET('BPC Data'!$F:$F,0,Summary!K$2),'BPC Data'!$E:$E,Summary!$D433,'BPC Data'!$B:$B,Summary!$C433)</f>
        <v>171673</v>
      </c>
      <c r="L433" s="183">
        <f ca="1">SUMIFS(OFFSET('BPC Data'!$F:$F,0,Summary!L$2),'BPC Data'!$E:$E,Summary!$D433,'BPC Data'!$B:$B,Summary!$C433)</f>
        <v>173905</v>
      </c>
      <c r="M433" s="19">
        <f ca="1">SUMIFS(OFFSET('BPC Data'!$F:$F,0,Summary!M$2),'BPC Data'!$E:$E,Summary!$D433,'BPC Data'!$B:$B,Summary!$C433)</f>
        <v>270741</v>
      </c>
      <c r="N433" s="183">
        <f ca="1">SUMIFS(OFFSET('BPC Data'!$F:$F,0,Summary!N$2),'BPC Data'!$E:$E,Summary!$D433,'BPC Data'!$B:$B,Summary!$C433)</f>
        <v>220587</v>
      </c>
      <c r="O433" s="19">
        <f ca="1">SUMIFS(OFFSET('BPC Data'!$F:$F,0,Summary!O$2),'BPC Data'!$E:$E,Summary!$D433,'BPC Data'!$B:$B,Summary!$C433)</f>
        <v>129412</v>
      </c>
      <c r="P433" s="183">
        <f ca="1">SUMIFS(OFFSET('BPC Data'!$F:$F,0,Summary!P$2),'BPC Data'!$E:$E,Summary!$D433,'BPC Data'!$B:$B,Summary!$C433)</f>
        <v>142753</v>
      </c>
      <c r="Q433" s="19">
        <f ca="1">SUMIFS(OFFSET('BPC Data'!$F:$F,0,Summary!Q$2),'BPC Data'!$E:$E,Summary!$D433,'BPC Data'!$B:$B,Summary!$C433)</f>
        <v>153973</v>
      </c>
      <c r="R433" s="183">
        <f ca="1">SUMIFS(OFFSET('BPC Data'!$F:$F,0,Summary!R$2),'BPC Data'!$E:$E,Summary!$D433,'BPC Data'!$B:$B,Summary!$C433)</f>
        <v>173728</v>
      </c>
      <c r="S433" s="187">
        <f t="shared" ca="1" si="137"/>
        <v>2082991</v>
      </c>
      <c r="T433" s="181"/>
    </row>
    <row r="434" spans="1:20" s="17" customFormat="1" outlineLevel="1" x14ac:dyDescent="0.25">
      <c r="A434" s="17">
        <f t="shared" si="148"/>
        <v>39</v>
      </c>
      <c r="B434"/>
      <c r="C434" t="str">
        <f>$F427</f>
        <v>SHC of Monroe County Rehab &amp; Wellness Center</v>
      </c>
      <c r="D434" s="2" t="str">
        <f t="shared" si="141"/>
        <v>T_MGMT_FEE - Tenant Management Fee - Actual</v>
      </c>
      <c r="E434"/>
      <c r="F434" s="24" t="str">
        <f>_xll.EVDES(D434)</f>
        <v>Tenant Management Fee - Actual</v>
      </c>
      <c r="G434" s="19">
        <f ca="1">SUMIFS(OFFSET('BPC Data'!$F:$F,0,Summary!G$2),'BPC Data'!$E:$E,Summary!$D434,'BPC Data'!$B:$B,Summary!$C434)</f>
        <v>35597</v>
      </c>
      <c r="H434" s="183">
        <f ca="1">SUMIFS(OFFSET('BPC Data'!$F:$F,0,Summary!H$2),'BPC Data'!$E:$E,Summary!$D434,'BPC Data'!$B:$B,Summary!$C434)</f>
        <v>38646</v>
      </c>
      <c r="I434" s="19">
        <f ca="1">SUMIFS(OFFSET('BPC Data'!$F:$F,0,Summary!I$2),'BPC Data'!$E:$E,Summary!$D434,'BPC Data'!$B:$B,Summary!$C434)</f>
        <v>48667</v>
      </c>
      <c r="J434" s="183">
        <f ca="1">SUMIFS(OFFSET('BPC Data'!$F:$F,0,Summary!J$2),'BPC Data'!$E:$E,Summary!$D434,'BPC Data'!$B:$B,Summary!$C434)</f>
        <v>43540</v>
      </c>
      <c r="K434" s="19">
        <f ca="1">SUMIFS(OFFSET('BPC Data'!$F:$F,0,Summary!K$2),'BPC Data'!$E:$E,Summary!$D434,'BPC Data'!$B:$B,Summary!$C434)</f>
        <v>41195</v>
      </c>
      <c r="L434" s="183">
        <f ca="1">SUMIFS(OFFSET('BPC Data'!$F:$F,0,Summary!L$2),'BPC Data'!$E:$E,Summary!$D434,'BPC Data'!$B:$B,Summary!$C434)</f>
        <v>34679</v>
      </c>
      <c r="M434" s="19">
        <f ca="1">SUMIFS(OFFSET('BPC Data'!$F:$F,0,Summary!M$2),'BPC Data'!$E:$E,Summary!$D434,'BPC Data'!$B:$B,Summary!$C434)</f>
        <v>43243</v>
      </c>
      <c r="N434" s="183">
        <f ca="1">SUMIFS(OFFSET('BPC Data'!$F:$F,0,Summary!N$2),'BPC Data'!$E:$E,Summary!$D434,'BPC Data'!$B:$B,Summary!$C434)</f>
        <v>38352</v>
      </c>
      <c r="O434" s="19">
        <f ca="1">SUMIFS(OFFSET('BPC Data'!$F:$F,0,Summary!O$2),'BPC Data'!$E:$E,Summary!$D434,'BPC Data'!$B:$B,Summary!$C434)</f>
        <v>38698</v>
      </c>
      <c r="P434" s="183">
        <f ca="1">SUMIFS(OFFSET('BPC Data'!$F:$F,0,Summary!P$2),'BPC Data'!$E:$E,Summary!$D434,'BPC Data'!$B:$B,Summary!$C434)</f>
        <v>37634</v>
      </c>
      <c r="Q434" s="19">
        <f ca="1">SUMIFS(OFFSET('BPC Data'!$F:$F,0,Summary!Q$2),'BPC Data'!$E:$E,Summary!$D434,'BPC Data'!$B:$B,Summary!$C434)</f>
        <v>39021</v>
      </c>
      <c r="R434" s="183">
        <f ca="1">SUMIFS(OFFSET('BPC Data'!$F:$F,0,Summary!R$2),'BPC Data'!$E:$E,Summary!$D434,'BPC Data'!$B:$B,Summary!$C434)</f>
        <v>38644</v>
      </c>
      <c r="S434" s="187">
        <f t="shared" ca="1" si="137"/>
        <v>477916</v>
      </c>
      <c r="T434" s="181"/>
    </row>
    <row r="435" spans="1:20" s="17" customFormat="1" outlineLevel="1" x14ac:dyDescent="0.25">
      <c r="A435" s="17">
        <f t="shared" si="148"/>
        <v>39</v>
      </c>
      <c r="B435"/>
      <c r="C435" t="str">
        <f>$F427</f>
        <v>SHC of Monroe County Rehab &amp; Wellness Center</v>
      </c>
      <c r="D435" s="1" t="str">
        <f t="shared" si="141"/>
        <v>T_EBITDAR - EBITDAR</v>
      </c>
      <c r="E435"/>
      <c r="F435" s="24" t="str">
        <f>_xll.EVDES(D435)</f>
        <v>EBITDAR</v>
      </c>
      <c r="G435" s="19">
        <f ca="1">SUMIFS(OFFSET('BPC Data'!$F:$F,0,Summary!G$2),'BPC Data'!$E:$E,Summary!$D435,'BPC Data'!$B:$B,Summary!$C435)</f>
        <v>91688</v>
      </c>
      <c r="H435" s="183">
        <f ca="1">SUMIFS(OFFSET('BPC Data'!$F:$F,0,Summary!H$2),'BPC Data'!$E:$E,Summary!$D435,'BPC Data'!$B:$B,Summary!$C435)</f>
        <v>132322</v>
      </c>
      <c r="I435" s="19">
        <f ca="1">SUMIFS(OFFSET('BPC Data'!$F:$F,0,Summary!I$2),'BPC Data'!$E:$E,Summary!$D435,'BPC Data'!$B:$B,Summary!$C435)</f>
        <v>284148</v>
      </c>
      <c r="J435" s="183">
        <f ca="1">SUMIFS(OFFSET('BPC Data'!$F:$F,0,Summary!J$2),'BPC Data'!$E:$E,Summary!$D435,'BPC Data'!$B:$B,Summary!$C435)</f>
        <v>-28389</v>
      </c>
      <c r="K435" s="19">
        <f ca="1">SUMIFS(OFFSET('BPC Data'!$F:$F,0,Summary!K$2),'BPC Data'!$E:$E,Summary!$D435,'BPC Data'!$B:$B,Summary!$C435)</f>
        <v>130478</v>
      </c>
      <c r="L435" s="183">
        <f ca="1">SUMIFS(OFFSET('BPC Data'!$F:$F,0,Summary!L$2),'BPC Data'!$E:$E,Summary!$D435,'BPC Data'!$B:$B,Summary!$C435)</f>
        <v>139226</v>
      </c>
      <c r="M435" s="19">
        <f ca="1">SUMIFS(OFFSET('BPC Data'!$F:$F,0,Summary!M$2),'BPC Data'!$E:$E,Summary!$D435,'BPC Data'!$B:$B,Summary!$C435)</f>
        <v>227498</v>
      </c>
      <c r="N435" s="183">
        <f ca="1">SUMIFS(OFFSET('BPC Data'!$F:$F,0,Summary!N$2),'BPC Data'!$E:$E,Summary!$D435,'BPC Data'!$B:$B,Summary!$C435)</f>
        <v>182235</v>
      </c>
      <c r="O435" s="19">
        <f ca="1">SUMIFS(OFFSET('BPC Data'!$F:$F,0,Summary!O$2),'BPC Data'!$E:$E,Summary!$D435,'BPC Data'!$B:$B,Summary!$C435)</f>
        <v>90714</v>
      </c>
      <c r="P435" s="183">
        <f ca="1">SUMIFS(OFFSET('BPC Data'!$F:$F,0,Summary!P$2),'BPC Data'!$E:$E,Summary!$D435,'BPC Data'!$B:$B,Summary!$C435)</f>
        <v>105119</v>
      </c>
      <c r="Q435" s="19">
        <f ca="1">SUMIFS(OFFSET('BPC Data'!$F:$F,0,Summary!Q$2),'BPC Data'!$E:$E,Summary!$D435,'BPC Data'!$B:$B,Summary!$C435)</f>
        <v>114952</v>
      </c>
      <c r="R435" s="183">
        <f ca="1">SUMIFS(OFFSET('BPC Data'!$F:$F,0,Summary!R$2),'BPC Data'!$E:$E,Summary!$D435,'BPC Data'!$B:$B,Summary!$C435)</f>
        <v>135084</v>
      </c>
      <c r="S435" s="187">
        <f t="shared" ca="1" si="137"/>
        <v>1605075</v>
      </c>
      <c r="T435" s="181"/>
    </row>
    <row r="436" spans="1:20" s="17" customFormat="1" outlineLevel="1" x14ac:dyDescent="0.25">
      <c r="A436" s="17">
        <f t="shared" si="148"/>
        <v>39</v>
      </c>
      <c r="B436"/>
      <c r="C436" t="str">
        <f>$F427</f>
        <v>SHC of Monroe County Rehab &amp; Wellness Center</v>
      </c>
      <c r="D436" s="1" t="str">
        <f t="shared" si="141"/>
        <v>T_RENT_EXP - Tenant Rent Expense</v>
      </c>
      <c r="E436"/>
      <c r="F436" s="24" t="str">
        <f>_xll.EVDES(D436)</f>
        <v>Tenant Rent Expense</v>
      </c>
      <c r="G436" s="19">
        <f ca="1">SUMIFS(OFFSET('BPC Data'!$F:$F,0,Summary!G$2),'BPC Data'!$E:$E,Summary!$D436,'BPC Data'!$B:$B,Summary!$C436)</f>
        <v>109651</v>
      </c>
      <c r="H436" s="183">
        <f ca="1">SUMIFS(OFFSET('BPC Data'!$F:$F,0,Summary!H$2),'BPC Data'!$E:$E,Summary!$D436,'BPC Data'!$B:$B,Summary!$C436)</f>
        <v>109651</v>
      </c>
      <c r="I436" s="19">
        <f ca="1">SUMIFS(OFFSET('BPC Data'!$F:$F,0,Summary!I$2),'BPC Data'!$E:$E,Summary!$D436,'BPC Data'!$B:$B,Summary!$C436)</f>
        <v>109651</v>
      </c>
      <c r="J436" s="183">
        <f ca="1">SUMIFS(OFFSET('BPC Data'!$F:$F,0,Summary!J$2),'BPC Data'!$E:$E,Summary!$D436,'BPC Data'!$B:$B,Summary!$C436)</f>
        <v>112392</v>
      </c>
      <c r="K436" s="19">
        <f ca="1">SUMIFS(OFFSET('BPC Data'!$F:$F,0,Summary!K$2),'BPC Data'!$E:$E,Summary!$D436,'BPC Data'!$B:$B,Summary!$C436)</f>
        <v>112392</v>
      </c>
      <c r="L436" s="183">
        <f ca="1">SUMIFS(OFFSET('BPC Data'!$F:$F,0,Summary!L$2),'BPC Data'!$E:$E,Summary!$D436,'BPC Data'!$B:$B,Summary!$C436)</f>
        <v>112392</v>
      </c>
      <c r="M436" s="19">
        <f ca="1">SUMIFS(OFFSET('BPC Data'!$F:$F,0,Summary!M$2),'BPC Data'!$E:$E,Summary!$D436,'BPC Data'!$B:$B,Summary!$C436)</f>
        <v>112392</v>
      </c>
      <c r="N436" s="183">
        <f ca="1">SUMIFS(OFFSET('BPC Data'!$F:$F,0,Summary!N$2),'BPC Data'!$E:$E,Summary!$D436,'BPC Data'!$B:$B,Summary!$C436)</f>
        <v>112392</v>
      </c>
      <c r="O436" s="19">
        <f ca="1">SUMIFS(OFFSET('BPC Data'!$F:$F,0,Summary!O$2),'BPC Data'!$E:$E,Summary!$D436,'BPC Data'!$B:$B,Summary!$C436)</f>
        <v>112392</v>
      </c>
      <c r="P436" s="183">
        <f ca="1">SUMIFS(OFFSET('BPC Data'!$F:$F,0,Summary!P$2),'BPC Data'!$E:$E,Summary!$D436,'BPC Data'!$B:$B,Summary!$C436)</f>
        <v>112392</v>
      </c>
      <c r="Q436" s="19">
        <f ca="1">SUMIFS(OFFSET('BPC Data'!$F:$F,0,Summary!Q$2),'BPC Data'!$E:$E,Summary!$D436,'BPC Data'!$B:$B,Summary!$C436)</f>
        <v>112392</v>
      </c>
      <c r="R436" s="183">
        <f ca="1">SUMIFS(OFFSET('BPC Data'!$F:$F,0,Summary!R$2),'BPC Data'!$E:$E,Summary!$D436,'BPC Data'!$B:$B,Summary!$C436)</f>
        <v>112392</v>
      </c>
      <c r="S436" s="187">
        <f t="shared" ca="1" si="137"/>
        <v>1340481</v>
      </c>
      <c r="T436" s="181"/>
    </row>
    <row r="437" spans="1:20" s="17" customFormat="1" outlineLevel="1" x14ac:dyDescent="0.25">
      <c r="A437" s="17">
        <f t="shared" si="148"/>
        <v>39</v>
      </c>
      <c r="B437"/>
      <c r="C437"/>
      <c r="D437" s="1" t="str">
        <f t="shared" si="141"/>
        <v>x</v>
      </c>
      <c r="E437"/>
      <c r="F437" s="24" t="s">
        <v>0</v>
      </c>
      <c r="G437" s="12">
        <f ca="1">G435/G436</f>
        <v>0.83618024459421258</v>
      </c>
      <c r="H437" s="184">
        <f t="shared" ref="H437:I437" ca="1" si="149">H435/H436</f>
        <v>1.2067559803376167</v>
      </c>
      <c r="I437" s="12">
        <f t="shared" ca="1" si="149"/>
        <v>2.5913853954820292</v>
      </c>
      <c r="J437" s="184">
        <f t="shared" ref="J437:R437" ca="1" si="150">J435/J436</f>
        <v>-0.25258915225282941</v>
      </c>
      <c r="K437" s="12">
        <f t="shared" ca="1" si="150"/>
        <v>1.1609189266139939</v>
      </c>
      <c r="L437" s="184">
        <f t="shared" ca="1" si="150"/>
        <v>1.2387536479464731</v>
      </c>
      <c r="M437" s="12">
        <f t="shared" ca="1" si="150"/>
        <v>2.0241476261655635</v>
      </c>
      <c r="N437" s="184">
        <f t="shared" ca="1" si="150"/>
        <v>1.6214232329703182</v>
      </c>
      <c r="O437" s="12">
        <f t="shared" ca="1" si="150"/>
        <v>0.80712150330984411</v>
      </c>
      <c r="P437" s="184">
        <f t="shared" ca="1" si="150"/>
        <v>0.93528898854010967</v>
      </c>
      <c r="Q437" s="12">
        <f t="shared" ca="1" si="150"/>
        <v>1.022777421880561</v>
      </c>
      <c r="R437" s="184">
        <f t="shared" ca="1" si="150"/>
        <v>1.2019004911381592</v>
      </c>
      <c r="S437" s="187">
        <f t="shared" ca="1" si="137"/>
        <v>14.394064306726053</v>
      </c>
      <c r="T437" s="181"/>
    </row>
    <row r="438" spans="1:20" s="17" customFormat="1" outlineLevel="1" x14ac:dyDescent="0.25">
      <c r="A438" s="17">
        <f>IF(AND(D438&lt;&gt;"",C438=""),A437+1,A437)</f>
        <v>40</v>
      </c>
      <c r="B438" s="5"/>
      <c r="C438" s="5"/>
      <c r="D438" s="5" t="str">
        <f t="shared" si="141"/>
        <v>x</v>
      </c>
      <c r="E438" s="5"/>
      <c r="F438" s="23" t="str">
        <f>INDEX(PropertyList!$D:$D,MATCH(Summary!$A438,PropertyList!$C:$C,0))</f>
        <v>SHC at North Hardin Rehab &amp; Wellness Center</v>
      </c>
      <c r="G438" s="11"/>
      <c r="H438" s="182"/>
      <c r="I438" s="11"/>
      <c r="J438" s="182"/>
      <c r="K438" s="11"/>
      <c r="L438" s="182"/>
      <c r="M438" s="11"/>
      <c r="N438" s="182"/>
      <c r="O438" s="11"/>
      <c r="P438" s="182"/>
      <c r="Q438" s="11"/>
      <c r="R438" s="182"/>
      <c r="S438" s="187">
        <f t="shared" si="137"/>
        <v>0</v>
      </c>
      <c r="T438" s="181"/>
    </row>
    <row r="439" spans="1:20" s="17" customFormat="1" outlineLevel="1" x14ac:dyDescent="0.25">
      <c r="A439" s="17">
        <f>IF(AND(F439&lt;&gt;"",D439=""),A438+1,A438)</f>
        <v>40</v>
      </c>
      <c r="C439" t="str">
        <f>$F438</f>
        <v>SHC at North Hardin Rehab &amp; Wellness Center</v>
      </c>
      <c r="D439" s="3" t="str">
        <f t="shared" si="141"/>
        <v>PAY_PAT_DAYS - Total Payor Patient Days</v>
      </c>
      <c r="F439" s="24" t="str">
        <f>_xll.EVDES(D439)</f>
        <v>Total Payor Patient Days</v>
      </c>
      <c r="G439" s="19">
        <f ca="1">SUMIFS(OFFSET('BPC Data'!$F:$F,0,Summary!G$2),'BPC Data'!$E:$E,Summary!$D439,'BPC Data'!$B:$B,Summary!$C439)</f>
        <v>3659</v>
      </c>
      <c r="H439" s="183">
        <f ca="1">SUMIFS(OFFSET('BPC Data'!$F:$F,0,Summary!H$2),'BPC Data'!$E:$E,Summary!$D439,'BPC Data'!$B:$B,Summary!$C439)</f>
        <v>3508</v>
      </c>
      <c r="I439" s="19">
        <f ca="1">SUMIFS(OFFSET('BPC Data'!$F:$F,0,Summary!I$2),'BPC Data'!$E:$E,Summary!$D439,'BPC Data'!$B:$B,Summary!$C439)</f>
        <v>2908</v>
      </c>
      <c r="J439" s="183">
        <f ca="1">SUMIFS(OFFSET('BPC Data'!$F:$F,0,Summary!J$2),'BPC Data'!$E:$E,Summary!$D439,'BPC Data'!$B:$B,Summary!$C439)</f>
        <v>3140</v>
      </c>
      <c r="K439" s="19">
        <f ca="1">SUMIFS(OFFSET('BPC Data'!$F:$F,0,Summary!K$2),'BPC Data'!$E:$E,Summary!$D439,'BPC Data'!$B:$B,Summary!$C439)</f>
        <v>3279</v>
      </c>
      <c r="L439" s="183">
        <f ca="1">SUMIFS(OFFSET('BPC Data'!$F:$F,0,Summary!L$2),'BPC Data'!$E:$E,Summary!$D439,'BPC Data'!$B:$B,Summary!$C439)</f>
        <v>2983</v>
      </c>
      <c r="M439" s="19">
        <f ca="1">SUMIFS(OFFSET('BPC Data'!$F:$F,0,Summary!M$2),'BPC Data'!$E:$E,Summary!$D439,'BPC Data'!$B:$B,Summary!$C439)</f>
        <v>3478</v>
      </c>
      <c r="N439" s="183">
        <f ca="1">SUMIFS(OFFSET('BPC Data'!$F:$F,0,Summary!N$2),'BPC Data'!$E:$E,Summary!$D439,'BPC Data'!$B:$B,Summary!$C439)</f>
        <v>3294</v>
      </c>
      <c r="O439" s="19">
        <f ca="1">SUMIFS(OFFSET('BPC Data'!$F:$F,0,Summary!O$2),'BPC Data'!$E:$E,Summary!$D439,'BPC Data'!$B:$B,Summary!$C439)</f>
        <v>3363</v>
      </c>
      <c r="P439" s="183">
        <f ca="1">SUMIFS(OFFSET('BPC Data'!$F:$F,0,Summary!P$2),'BPC Data'!$E:$E,Summary!$D439,'BPC Data'!$B:$B,Summary!$C439)</f>
        <v>3110</v>
      </c>
      <c r="Q439" s="19">
        <f ca="1">SUMIFS(OFFSET('BPC Data'!$F:$F,0,Summary!Q$2),'BPC Data'!$E:$E,Summary!$D439,'BPC Data'!$B:$B,Summary!$C439)</f>
        <v>3237</v>
      </c>
      <c r="R439" s="183">
        <f ca="1">SUMIFS(OFFSET('BPC Data'!$F:$F,0,Summary!R$2),'BPC Data'!$E:$E,Summary!$D439,'BPC Data'!$B:$B,Summary!$C439)</f>
        <v>3409</v>
      </c>
      <c r="S439" s="187">
        <f t="shared" ca="1" si="137"/>
        <v>39368</v>
      </c>
      <c r="T439" s="181"/>
    </row>
    <row r="440" spans="1:20" s="17" customFormat="1" outlineLevel="1" x14ac:dyDescent="0.25">
      <c r="A440" s="17">
        <f t="shared" ref="A440:A448" si="151">IF(AND(F440&lt;&gt;"",D440=""),A439+1,A439)</f>
        <v>40</v>
      </c>
      <c r="C440" t="str">
        <f>$F438</f>
        <v>SHC at North Hardin Rehab &amp; Wellness Center</v>
      </c>
      <c r="D440" s="3" t="str">
        <f t="shared" si="141"/>
        <v>A_BEDS_TOTAL - Total Available Beds</v>
      </c>
      <c r="F440" s="24" t="str">
        <f>_xll.EVDES(D440)</f>
        <v>Total Available Beds</v>
      </c>
      <c r="G440" s="19">
        <f ca="1">SUMIFS(OFFSET('BPC Data'!$F:$F,0,Summary!G$2),'BPC Data'!$E:$E,Summary!$D440,'BPC Data'!$B:$B,Summary!$C440)</f>
        <v>161</v>
      </c>
      <c r="H440" s="183">
        <f ca="1">SUMIFS(OFFSET('BPC Data'!$F:$F,0,Summary!H$2),'BPC Data'!$E:$E,Summary!$D440,'BPC Data'!$B:$B,Summary!$C440)</f>
        <v>161</v>
      </c>
      <c r="I440" s="19">
        <f ca="1">SUMIFS(OFFSET('BPC Data'!$F:$F,0,Summary!I$2),'BPC Data'!$E:$E,Summary!$D440,'BPC Data'!$B:$B,Summary!$C440)</f>
        <v>161</v>
      </c>
      <c r="J440" s="183">
        <f ca="1">SUMIFS(OFFSET('BPC Data'!$F:$F,0,Summary!J$2),'BPC Data'!$E:$E,Summary!$D440,'BPC Data'!$B:$B,Summary!$C440)</f>
        <v>161</v>
      </c>
      <c r="K440" s="19">
        <f ca="1">SUMIFS(OFFSET('BPC Data'!$F:$F,0,Summary!K$2),'BPC Data'!$E:$E,Summary!$D440,'BPC Data'!$B:$B,Summary!$C440)</f>
        <v>161</v>
      </c>
      <c r="L440" s="183">
        <f ca="1">SUMIFS(OFFSET('BPC Data'!$F:$F,0,Summary!L$2),'BPC Data'!$E:$E,Summary!$D440,'BPC Data'!$B:$B,Summary!$C440)</f>
        <v>161</v>
      </c>
      <c r="M440" s="19">
        <f ca="1">SUMIFS(OFFSET('BPC Data'!$F:$F,0,Summary!M$2),'BPC Data'!$E:$E,Summary!$D440,'BPC Data'!$B:$B,Summary!$C440)</f>
        <v>161</v>
      </c>
      <c r="N440" s="183">
        <f ca="1">SUMIFS(OFFSET('BPC Data'!$F:$F,0,Summary!N$2),'BPC Data'!$E:$E,Summary!$D440,'BPC Data'!$B:$B,Summary!$C440)</f>
        <v>161</v>
      </c>
      <c r="O440" s="19">
        <f ca="1">SUMIFS(OFFSET('BPC Data'!$F:$F,0,Summary!O$2),'BPC Data'!$E:$E,Summary!$D440,'BPC Data'!$B:$B,Summary!$C440)</f>
        <v>161</v>
      </c>
      <c r="P440" s="183">
        <f ca="1">SUMIFS(OFFSET('BPC Data'!$F:$F,0,Summary!P$2),'BPC Data'!$E:$E,Summary!$D440,'BPC Data'!$B:$B,Summary!$C440)</f>
        <v>161</v>
      </c>
      <c r="Q440" s="19">
        <f ca="1">SUMIFS(OFFSET('BPC Data'!$F:$F,0,Summary!Q$2),'BPC Data'!$E:$E,Summary!$D440,'BPC Data'!$B:$B,Summary!$C440)</f>
        <v>161</v>
      </c>
      <c r="R440" s="183">
        <f ca="1">SUMIFS(OFFSET('BPC Data'!$F:$F,0,Summary!R$2),'BPC Data'!$E:$E,Summary!$D440,'BPC Data'!$B:$B,Summary!$C440)</f>
        <v>161</v>
      </c>
      <c r="S440" s="187">
        <f ca="1">R440</f>
        <v>161</v>
      </c>
      <c r="T440" s="181"/>
    </row>
    <row r="441" spans="1:20" s="17" customFormat="1" outlineLevel="1" x14ac:dyDescent="0.25">
      <c r="A441" s="17">
        <f t="shared" si="151"/>
        <v>40</v>
      </c>
      <c r="B441"/>
      <c r="C441" t="str">
        <f>$F438</f>
        <v>SHC at North Hardin Rehab &amp; Wellness Center</v>
      </c>
      <c r="D441" s="3" t="str">
        <f t="shared" si="141"/>
        <v>T_REVENUES - Total Tenant Revenues</v>
      </c>
      <c r="E441"/>
      <c r="F441" s="24" t="str">
        <f>_xll.EVDES(D441)</f>
        <v>Total Tenant Revenues</v>
      </c>
      <c r="G441" s="19">
        <f ca="1">SUMIFS(OFFSET('BPC Data'!$F:$F,0,Summary!G$2),'BPC Data'!$E:$E,Summary!$D441,'BPC Data'!$B:$B,Summary!$C441)</f>
        <v>1132392</v>
      </c>
      <c r="H441" s="183">
        <f ca="1">SUMIFS(OFFSET('BPC Data'!$F:$F,0,Summary!H$2),'BPC Data'!$E:$E,Summary!$D441,'BPC Data'!$B:$B,Summary!$C441)</f>
        <v>1178651</v>
      </c>
      <c r="I441" s="19">
        <f ca="1">SUMIFS(OFFSET('BPC Data'!$F:$F,0,Summary!I$2),'BPC Data'!$E:$E,Summary!$D441,'BPC Data'!$B:$B,Summary!$C441)</f>
        <v>1376659</v>
      </c>
      <c r="J441" s="183">
        <f ca="1">SUMIFS(OFFSET('BPC Data'!$F:$F,0,Summary!J$2),'BPC Data'!$E:$E,Summary!$D441,'BPC Data'!$B:$B,Summary!$C441)</f>
        <v>1369414</v>
      </c>
      <c r="K441" s="19">
        <f ca="1">SUMIFS(OFFSET('BPC Data'!$F:$F,0,Summary!K$2),'BPC Data'!$E:$E,Summary!$D441,'BPC Data'!$B:$B,Summary!$C441)</f>
        <v>1019008</v>
      </c>
      <c r="L441" s="183">
        <f ca="1">SUMIFS(OFFSET('BPC Data'!$F:$F,0,Summary!L$2),'BPC Data'!$E:$E,Summary!$D441,'BPC Data'!$B:$B,Summary!$C441)</f>
        <v>819233</v>
      </c>
      <c r="M441" s="19">
        <f ca="1">SUMIFS(OFFSET('BPC Data'!$F:$F,0,Summary!M$2),'BPC Data'!$E:$E,Summary!$D441,'BPC Data'!$B:$B,Summary!$C441)</f>
        <v>1207812</v>
      </c>
      <c r="N441" s="183">
        <f ca="1">SUMIFS(OFFSET('BPC Data'!$F:$F,0,Summary!N$2),'BPC Data'!$E:$E,Summary!$D441,'BPC Data'!$B:$B,Summary!$C441)</f>
        <v>1030213</v>
      </c>
      <c r="O441" s="19">
        <f ca="1">SUMIFS(OFFSET('BPC Data'!$F:$F,0,Summary!O$2),'BPC Data'!$E:$E,Summary!$D441,'BPC Data'!$B:$B,Summary!$C441)</f>
        <v>1042658</v>
      </c>
      <c r="P441" s="183">
        <f ca="1">SUMIFS(OFFSET('BPC Data'!$F:$F,0,Summary!P$2),'BPC Data'!$E:$E,Summary!$D441,'BPC Data'!$B:$B,Summary!$C441)</f>
        <v>923083</v>
      </c>
      <c r="Q441" s="19">
        <f ca="1">SUMIFS(OFFSET('BPC Data'!$F:$F,0,Summary!Q$2),'BPC Data'!$E:$E,Summary!$D441,'BPC Data'!$B:$B,Summary!$C441)</f>
        <v>1005638</v>
      </c>
      <c r="R441" s="183">
        <f ca="1">SUMIFS(OFFSET('BPC Data'!$F:$F,0,Summary!R$2),'BPC Data'!$E:$E,Summary!$D441,'BPC Data'!$B:$B,Summary!$C441)</f>
        <v>1076441</v>
      </c>
      <c r="S441" s="187">
        <f t="shared" ca="1" si="137"/>
        <v>13181202</v>
      </c>
      <c r="T441" s="181"/>
    </row>
    <row r="442" spans="1:20" s="17" customFormat="1" outlineLevel="1" x14ac:dyDescent="0.25">
      <c r="A442" s="17">
        <f t="shared" si="151"/>
        <v>40</v>
      </c>
      <c r="B442"/>
      <c r="C442" t="str">
        <f>$F438</f>
        <v>SHC at North Hardin Rehab &amp; Wellness Center</v>
      </c>
      <c r="D442" s="3" t="str">
        <f t="shared" si="141"/>
        <v>T_OPEX - Tenant Operating Expenses</v>
      </c>
      <c r="E442"/>
      <c r="F442" s="24" t="str">
        <f>_xll.EVDES(D442)</f>
        <v>Tenant Operating Expenses</v>
      </c>
      <c r="G442" s="19">
        <f ca="1">SUMIFS(OFFSET('BPC Data'!$F:$F,0,Summary!G$2),'BPC Data'!$E:$E,Summary!$D442,'BPC Data'!$B:$B,Summary!$C442)</f>
        <v>861365</v>
      </c>
      <c r="H442" s="183">
        <f ca="1">SUMIFS(OFFSET('BPC Data'!$F:$F,0,Summary!H$2),'BPC Data'!$E:$E,Summary!$D442,'BPC Data'!$B:$B,Summary!$C442)</f>
        <v>888234</v>
      </c>
      <c r="I442" s="19">
        <f ca="1">SUMIFS(OFFSET('BPC Data'!$F:$F,0,Summary!I$2),'BPC Data'!$E:$E,Summary!$D442,'BPC Data'!$B:$B,Summary!$C442)</f>
        <v>1185424</v>
      </c>
      <c r="J442" s="183">
        <f ca="1">SUMIFS(OFFSET('BPC Data'!$F:$F,0,Summary!J$2),'BPC Data'!$E:$E,Summary!$D442,'BPC Data'!$B:$B,Summary!$C442)</f>
        <v>1273140</v>
      </c>
      <c r="K442" s="19">
        <f ca="1">SUMIFS(OFFSET('BPC Data'!$F:$F,0,Summary!K$2),'BPC Data'!$E:$E,Summary!$D442,'BPC Data'!$B:$B,Summary!$C442)</f>
        <v>915755</v>
      </c>
      <c r="L442" s="183">
        <f ca="1">SUMIFS(OFFSET('BPC Data'!$F:$F,0,Summary!L$2),'BPC Data'!$E:$E,Summary!$D442,'BPC Data'!$B:$B,Summary!$C442)</f>
        <v>806905</v>
      </c>
      <c r="M442" s="19">
        <f ca="1">SUMIFS(OFFSET('BPC Data'!$F:$F,0,Summary!M$2),'BPC Data'!$E:$E,Summary!$D442,'BPC Data'!$B:$B,Summary!$C442)</f>
        <v>902633</v>
      </c>
      <c r="N442" s="183">
        <f ca="1">SUMIFS(OFFSET('BPC Data'!$F:$F,0,Summary!N$2),'BPC Data'!$E:$E,Summary!$D442,'BPC Data'!$B:$B,Summary!$C442)</f>
        <v>796588</v>
      </c>
      <c r="O442" s="19">
        <f ca="1">SUMIFS(OFFSET('BPC Data'!$F:$F,0,Summary!O$2),'BPC Data'!$E:$E,Summary!$D442,'BPC Data'!$B:$B,Summary!$C442)</f>
        <v>813115</v>
      </c>
      <c r="P442" s="183">
        <f ca="1">SUMIFS(OFFSET('BPC Data'!$F:$F,0,Summary!P$2),'BPC Data'!$E:$E,Summary!$D442,'BPC Data'!$B:$B,Summary!$C442)</f>
        <v>760072</v>
      </c>
      <c r="Q442" s="19">
        <f ca="1">SUMIFS(OFFSET('BPC Data'!$F:$F,0,Summary!Q$2),'BPC Data'!$E:$E,Summary!$D442,'BPC Data'!$B:$B,Summary!$C442)</f>
        <v>776167</v>
      </c>
      <c r="R442" s="183">
        <f ca="1">SUMIFS(OFFSET('BPC Data'!$F:$F,0,Summary!R$2),'BPC Data'!$E:$E,Summary!$D442,'BPC Data'!$B:$B,Summary!$C442)</f>
        <v>842253</v>
      </c>
      <c r="S442" s="187">
        <f t="shared" ca="1" si="137"/>
        <v>10821651</v>
      </c>
      <c r="T442" s="181"/>
    </row>
    <row r="443" spans="1:20" s="17" customFormat="1" outlineLevel="1" x14ac:dyDescent="0.25">
      <c r="A443" s="17">
        <f t="shared" si="151"/>
        <v>40</v>
      </c>
      <c r="B443"/>
      <c r="C443" t="str">
        <f>$F438</f>
        <v>SHC at North Hardin Rehab &amp; Wellness Center</v>
      </c>
      <c r="D443" s="3" t="str">
        <f t="shared" si="141"/>
        <v>T_BAD_DEBT - Tenant Bad Debt Expense</v>
      </c>
      <c r="E443"/>
      <c r="F443" s="24" t="str">
        <f>_xll.EVDES(D443)</f>
        <v>Tenant Bad Debt Expense</v>
      </c>
      <c r="G443" s="19">
        <f ca="1">SUMIFS(OFFSET('BPC Data'!$F:$F,0,Summary!G$2),'BPC Data'!$E:$E,Summary!$D443,'BPC Data'!$B:$B,Summary!$C443)</f>
        <v>10000</v>
      </c>
      <c r="H443" s="183">
        <f ca="1">SUMIFS(OFFSET('BPC Data'!$F:$F,0,Summary!H$2),'BPC Data'!$E:$E,Summary!$D443,'BPC Data'!$B:$B,Summary!$C443)</f>
        <v>17211</v>
      </c>
      <c r="I443" s="19">
        <f ca="1">SUMIFS(OFFSET('BPC Data'!$F:$F,0,Summary!I$2),'BPC Data'!$E:$E,Summary!$D443,'BPC Data'!$B:$B,Summary!$C443)</f>
        <v>17500</v>
      </c>
      <c r="J443" s="183">
        <f ca="1">SUMIFS(OFFSET('BPC Data'!$F:$F,0,Summary!J$2),'BPC Data'!$E:$E,Summary!$D443,'BPC Data'!$B:$B,Summary!$C443)</f>
        <v>43785</v>
      </c>
      <c r="K443" s="19">
        <f ca="1">SUMIFS(OFFSET('BPC Data'!$F:$F,0,Summary!K$2),'BPC Data'!$E:$E,Summary!$D443,'BPC Data'!$B:$B,Summary!$C443)</f>
        <v>15000</v>
      </c>
      <c r="L443" s="183">
        <f ca="1">SUMIFS(OFFSET('BPC Data'!$F:$F,0,Summary!L$2),'BPC Data'!$E:$E,Summary!$D443,'BPC Data'!$B:$B,Summary!$C443)</f>
        <v>20000</v>
      </c>
      <c r="M443" s="19">
        <f ca="1">SUMIFS(OFFSET('BPC Data'!$F:$F,0,Summary!M$2),'BPC Data'!$E:$E,Summary!$D443,'BPC Data'!$B:$B,Summary!$C443)</f>
        <v>0</v>
      </c>
      <c r="N443" s="183">
        <f ca="1">SUMIFS(OFFSET('BPC Data'!$F:$F,0,Summary!N$2),'BPC Data'!$E:$E,Summary!$D443,'BPC Data'!$B:$B,Summary!$C443)</f>
        <v>5000</v>
      </c>
      <c r="O443" s="19">
        <f ca="1">SUMIFS(OFFSET('BPC Data'!$F:$F,0,Summary!O$2),'BPC Data'!$E:$E,Summary!$D443,'BPC Data'!$B:$B,Summary!$C443)</f>
        <v>0</v>
      </c>
      <c r="P443" s="183">
        <f ca="1">SUMIFS(OFFSET('BPC Data'!$F:$F,0,Summary!P$2),'BPC Data'!$E:$E,Summary!$D443,'BPC Data'!$B:$B,Summary!$C443)</f>
        <v>0</v>
      </c>
      <c r="Q443" s="19">
        <f ca="1">SUMIFS(OFFSET('BPC Data'!$F:$F,0,Summary!Q$2),'BPC Data'!$E:$E,Summary!$D443,'BPC Data'!$B:$B,Summary!$C443)</f>
        <v>15000</v>
      </c>
      <c r="R443" s="183">
        <f ca="1">SUMIFS(OFFSET('BPC Data'!$F:$F,0,Summary!R$2),'BPC Data'!$E:$E,Summary!$D443,'BPC Data'!$B:$B,Summary!$C443)</f>
        <v>0</v>
      </c>
      <c r="S443" s="187">
        <f t="shared" ca="1" si="137"/>
        <v>143496</v>
      </c>
      <c r="T443" s="181"/>
    </row>
    <row r="444" spans="1:20" s="17" customFormat="1" outlineLevel="1" x14ac:dyDescent="0.25">
      <c r="A444" s="17">
        <f t="shared" si="151"/>
        <v>40</v>
      </c>
      <c r="B444"/>
      <c r="C444" t="str">
        <f>$F438</f>
        <v>SHC at North Hardin Rehab &amp; Wellness Center</v>
      </c>
      <c r="D444" s="2" t="str">
        <f t="shared" si="141"/>
        <v>T_EBITDARM - EBITDARM</v>
      </c>
      <c r="E444"/>
      <c r="F444" s="24" t="str">
        <f>_xll.EVDES(D444)</f>
        <v>EBITDARM</v>
      </c>
      <c r="G444" s="19">
        <f ca="1">SUMIFS(OFFSET('BPC Data'!$F:$F,0,Summary!G$2),'BPC Data'!$E:$E,Summary!$D444,'BPC Data'!$B:$B,Summary!$C444)</f>
        <v>271027</v>
      </c>
      <c r="H444" s="183">
        <f ca="1">SUMIFS(OFFSET('BPC Data'!$F:$F,0,Summary!H$2),'BPC Data'!$E:$E,Summary!$D444,'BPC Data'!$B:$B,Summary!$C444)</f>
        <v>290417</v>
      </c>
      <c r="I444" s="19">
        <f ca="1">SUMIFS(OFFSET('BPC Data'!$F:$F,0,Summary!I$2),'BPC Data'!$E:$E,Summary!$D444,'BPC Data'!$B:$B,Summary!$C444)</f>
        <v>191235</v>
      </c>
      <c r="J444" s="183">
        <f ca="1">SUMIFS(OFFSET('BPC Data'!$F:$F,0,Summary!J$2),'BPC Data'!$E:$E,Summary!$D444,'BPC Data'!$B:$B,Summary!$C444)</f>
        <v>96274</v>
      </c>
      <c r="K444" s="19">
        <f ca="1">SUMIFS(OFFSET('BPC Data'!$F:$F,0,Summary!K$2),'BPC Data'!$E:$E,Summary!$D444,'BPC Data'!$B:$B,Summary!$C444)</f>
        <v>103253</v>
      </c>
      <c r="L444" s="183">
        <f ca="1">SUMIFS(OFFSET('BPC Data'!$F:$F,0,Summary!L$2),'BPC Data'!$E:$E,Summary!$D444,'BPC Data'!$B:$B,Summary!$C444)</f>
        <v>12328</v>
      </c>
      <c r="M444" s="19">
        <f ca="1">SUMIFS(OFFSET('BPC Data'!$F:$F,0,Summary!M$2),'BPC Data'!$E:$E,Summary!$D444,'BPC Data'!$B:$B,Summary!$C444)</f>
        <v>305179</v>
      </c>
      <c r="N444" s="183">
        <f ca="1">SUMIFS(OFFSET('BPC Data'!$F:$F,0,Summary!N$2),'BPC Data'!$E:$E,Summary!$D444,'BPC Data'!$B:$B,Summary!$C444)</f>
        <v>233625</v>
      </c>
      <c r="O444" s="19">
        <f ca="1">SUMIFS(OFFSET('BPC Data'!$F:$F,0,Summary!O$2),'BPC Data'!$E:$E,Summary!$D444,'BPC Data'!$B:$B,Summary!$C444)</f>
        <v>229543</v>
      </c>
      <c r="P444" s="183">
        <f ca="1">SUMIFS(OFFSET('BPC Data'!$F:$F,0,Summary!P$2),'BPC Data'!$E:$E,Summary!$D444,'BPC Data'!$B:$B,Summary!$C444)</f>
        <v>163011</v>
      </c>
      <c r="Q444" s="19">
        <f ca="1">SUMIFS(OFFSET('BPC Data'!$F:$F,0,Summary!Q$2),'BPC Data'!$E:$E,Summary!$D444,'BPC Data'!$B:$B,Summary!$C444)</f>
        <v>229471</v>
      </c>
      <c r="R444" s="183">
        <f ca="1">SUMIFS(OFFSET('BPC Data'!$F:$F,0,Summary!R$2),'BPC Data'!$E:$E,Summary!$D444,'BPC Data'!$B:$B,Summary!$C444)</f>
        <v>234188</v>
      </c>
      <c r="S444" s="187">
        <f t="shared" ca="1" si="137"/>
        <v>2359551</v>
      </c>
      <c r="T444" s="181"/>
    </row>
    <row r="445" spans="1:20" s="17" customFormat="1" outlineLevel="1" x14ac:dyDescent="0.25">
      <c r="A445" s="17">
        <f t="shared" si="151"/>
        <v>40</v>
      </c>
      <c r="B445"/>
      <c r="C445" t="str">
        <f>$F438</f>
        <v>SHC at North Hardin Rehab &amp; Wellness Center</v>
      </c>
      <c r="D445" s="2" t="str">
        <f t="shared" si="141"/>
        <v>T_MGMT_FEE - Tenant Management Fee - Actual</v>
      </c>
      <c r="E445"/>
      <c r="F445" s="24" t="str">
        <f>_xll.EVDES(D445)</f>
        <v>Tenant Management Fee - Actual</v>
      </c>
      <c r="G445" s="19">
        <f ca="1">SUMIFS(OFFSET('BPC Data'!$F:$F,0,Summary!G$2),'BPC Data'!$E:$E,Summary!$D445,'BPC Data'!$B:$B,Summary!$C445)</f>
        <v>56830</v>
      </c>
      <c r="H445" s="183">
        <f ca="1">SUMIFS(OFFSET('BPC Data'!$F:$F,0,Summary!H$2),'BPC Data'!$E:$E,Summary!$D445,'BPC Data'!$B:$B,Summary!$C445)</f>
        <v>59522</v>
      </c>
      <c r="I445" s="19">
        <f ca="1">SUMIFS(OFFSET('BPC Data'!$F:$F,0,Summary!I$2),'BPC Data'!$E:$E,Summary!$D445,'BPC Data'!$B:$B,Summary!$C445)</f>
        <v>69521</v>
      </c>
      <c r="J445" s="183">
        <f ca="1">SUMIFS(OFFSET('BPC Data'!$F:$F,0,Summary!J$2),'BPC Data'!$E:$E,Summary!$D445,'BPC Data'!$B:$B,Summary!$C445)</f>
        <v>69038</v>
      </c>
      <c r="K445" s="19">
        <f ca="1">SUMIFS(OFFSET('BPC Data'!$F:$F,0,Summary!K$2),'BPC Data'!$E:$E,Summary!$D445,'BPC Data'!$B:$B,Summary!$C445)</f>
        <v>51796</v>
      </c>
      <c r="L445" s="183">
        <f ca="1">SUMIFS(OFFSET('BPC Data'!$F:$F,0,Summary!L$2),'BPC Data'!$E:$E,Summary!$D445,'BPC Data'!$B:$B,Summary!$C445)</f>
        <v>41371</v>
      </c>
      <c r="M445" s="19">
        <f ca="1">SUMIFS(OFFSET('BPC Data'!$F:$F,0,Summary!M$2),'BPC Data'!$E:$E,Summary!$D445,'BPC Data'!$B:$B,Summary!$C445)</f>
        <v>60995</v>
      </c>
      <c r="N445" s="183">
        <f ca="1">SUMIFS(OFFSET('BPC Data'!$F:$F,0,Summary!N$2),'BPC Data'!$E:$E,Summary!$D445,'BPC Data'!$B:$B,Summary!$C445)</f>
        <v>52026</v>
      </c>
      <c r="O445" s="19">
        <f ca="1">SUMIFS(OFFSET('BPC Data'!$F:$F,0,Summary!O$2),'BPC Data'!$E:$E,Summary!$D445,'BPC Data'!$B:$B,Summary!$C445)</f>
        <v>52654</v>
      </c>
      <c r="P445" s="183">
        <f ca="1">SUMIFS(OFFSET('BPC Data'!$F:$F,0,Summary!P$2),'BPC Data'!$E:$E,Summary!$D445,'BPC Data'!$B:$B,Summary!$C445)</f>
        <v>46616</v>
      </c>
      <c r="Q445" s="19">
        <f ca="1">SUMIFS(OFFSET('BPC Data'!$F:$F,0,Summary!Q$2),'BPC Data'!$E:$E,Summary!$D445,'BPC Data'!$B:$B,Summary!$C445)</f>
        <v>50785</v>
      </c>
      <c r="R445" s="183">
        <f ca="1">SUMIFS(OFFSET('BPC Data'!$F:$F,0,Summary!R$2),'BPC Data'!$E:$E,Summary!$D445,'BPC Data'!$B:$B,Summary!$C445)</f>
        <v>54360</v>
      </c>
      <c r="S445" s="187">
        <f t="shared" ca="1" si="137"/>
        <v>665514</v>
      </c>
      <c r="T445" s="181"/>
    </row>
    <row r="446" spans="1:20" s="17" customFormat="1" outlineLevel="1" x14ac:dyDescent="0.25">
      <c r="A446" s="17">
        <f t="shared" si="151"/>
        <v>40</v>
      </c>
      <c r="B446"/>
      <c r="C446" t="str">
        <f>$F438</f>
        <v>SHC at North Hardin Rehab &amp; Wellness Center</v>
      </c>
      <c r="D446" s="1" t="str">
        <f t="shared" si="141"/>
        <v>T_EBITDAR - EBITDAR</v>
      </c>
      <c r="E446"/>
      <c r="F446" s="24" t="str">
        <f>_xll.EVDES(D446)</f>
        <v>EBITDAR</v>
      </c>
      <c r="G446" s="19">
        <f ca="1">SUMIFS(OFFSET('BPC Data'!$F:$F,0,Summary!G$2),'BPC Data'!$E:$E,Summary!$D446,'BPC Data'!$B:$B,Summary!$C446)</f>
        <v>214197</v>
      </c>
      <c r="H446" s="183">
        <f ca="1">SUMIFS(OFFSET('BPC Data'!$F:$F,0,Summary!H$2),'BPC Data'!$E:$E,Summary!$D446,'BPC Data'!$B:$B,Summary!$C446)</f>
        <v>230895</v>
      </c>
      <c r="I446" s="19">
        <f ca="1">SUMIFS(OFFSET('BPC Data'!$F:$F,0,Summary!I$2),'BPC Data'!$E:$E,Summary!$D446,'BPC Data'!$B:$B,Summary!$C446)</f>
        <v>121714</v>
      </c>
      <c r="J446" s="183">
        <f ca="1">SUMIFS(OFFSET('BPC Data'!$F:$F,0,Summary!J$2),'BPC Data'!$E:$E,Summary!$D446,'BPC Data'!$B:$B,Summary!$C446)</f>
        <v>27236</v>
      </c>
      <c r="K446" s="19">
        <f ca="1">SUMIFS(OFFSET('BPC Data'!$F:$F,0,Summary!K$2),'BPC Data'!$E:$E,Summary!$D446,'BPC Data'!$B:$B,Summary!$C446)</f>
        <v>51457</v>
      </c>
      <c r="L446" s="183">
        <f ca="1">SUMIFS(OFFSET('BPC Data'!$F:$F,0,Summary!L$2),'BPC Data'!$E:$E,Summary!$D446,'BPC Data'!$B:$B,Summary!$C446)</f>
        <v>-29043</v>
      </c>
      <c r="M446" s="19">
        <f ca="1">SUMIFS(OFFSET('BPC Data'!$F:$F,0,Summary!M$2),'BPC Data'!$E:$E,Summary!$D446,'BPC Data'!$B:$B,Summary!$C446)</f>
        <v>244184</v>
      </c>
      <c r="N446" s="183">
        <f ca="1">SUMIFS(OFFSET('BPC Data'!$F:$F,0,Summary!N$2),'BPC Data'!$E:$E,Summary!$D446,'BPC Data'!$B:$B,Summary!$C446)</f>
        <v>181599</v>
      </c>
      <c r="O446" s="19">
        <f ca="1">SUMIFS(OFFSET('BPC Data'!$F:$F,0,Summary!O$2),'BPC Data'!$E:$E,Summary!$D446,'BPC Data'!$B:$B,Summary!$C446)</f>
        <v>176889</v>
      </c>
      <c r="P446" s="183">
        <f ca="1">SUMIFS(OFFSET('BPC Data'!$F:$F,0,Summary!P$2),'BPC Data'!$E:$E,Summary!$D446,'BPC Data'!$B:$B,Summary!$C446)</f>
        <v>116395</v>
      </c>
      <c r="Q446" s="19">
        <f ca="1">SUMIFS(OFFSET('BPC Data'!$F:$F,0,Summary!Q$2),'BPC Data'!$E:$E,Summary!$D446,'BPC Data'!$B:$B,Summary!$C446)</f>
        <v>178686</v>
      </c>
      <c r="R446" s="183">
        <f ca="1">SUMIFS(OFFSET('BPC Data'!$F:$F,0,Summary!R$2),'BPC Data'!$E:$E,Summary!$D446,'BPC Data'!$B:$B,Summary!$C446)</f>
        <v>179828</v>
      </c>
      <c r="S446" s="187">
        <f t="shared" ca="1" si="137"/>
        <v>1694037</v>
      </c>
      <c r="T446" s="181"/>
    </row>
    <row r="447" spans="1:20" s="17" customFormat="1" outlineLevel="1" x14ac:dyDescent="0.25">
      <c r="A447" s="17">
        <f t="shared" si="151"/>
        <v>40</v>
      </c>
      <c r="B447"/>
      <c r="C447" t="str">
        <f>$F438</f>
        <v>SHC at North Hardin Rehab &amp; Wellness Center</v>
      </c>
      <c r="D447" s="1" t="str">
        <f t="shared" si="141"/>
        <v>T_RENT_EXP - Tenant Rent Expense</v>
      </c>
      <c r="E447"/>
      <c r="F447" s="24" t="str">
        <f>_xll.EVDES(D447)</f>
        <v>Tenant Rent Expense</v>
      </c>
      <c r="G447" s="19">
        <f ca="1">SUMIFS(OFFSET('BPC Data'!$F:$F,0,Summary!G$2),'BPC Data'!$E:$E,Summary!$D447,'BPC Data'!$B:$B,Summary!$C447)</f>
        <v>116464</v>
      </c>
      <c r="H447" s="183">
        <f ca="1">SUMIFS(OFFSET('BPC Data'!$F:$F,0,Summary!H$2),'BPC Data'!$E:$E,Summary!$D447,'BPC Data'!$B:$B,Summary!$C447)</f>
        <v>116464</v>
      </c>
      <c r="I447" s="19">
        <f ca="1">SUMIFS(OFFSET('BPC Data'!$F:$F,0,Summary!I$2),'BPC Data'!$E:$E,Summary!$D447,'BPC Data'!$B:$B,Summary!$C447)</f>
        <v>116464</v>
      </c>
      <c r="J447" s="183">
        <f ca="1">SUMIFS(OFFSET('BPC Data'!$F:$F,0,Summary!J$2),'BPC Data'!$E:$E,Summary!$D447,'BPC Data'!$B:$B,Summary!$C447)</f>
        <v>119376</v>
      </c>
      <c r="K447" s="19">
        <f ca="1">SUMIFS(OFFSET('BPC Data'!$F:$F,0,Summary!K$2),'BPC Data'!$E:$E,Summary!$D447,'BPC Data'!$B:$B,Summary!$C447)</f>
        <v>119376</v>
      </c>
      <c r="L447" s="183">
        <f ca="1">SUMIFS(OFFSET('BPC Data'!$F:$F,0,Summary!L$2),'BPC Data'!$E:$E,Summary!$D447,'BPC Data'!$B:$B,Summary!$C447)</f>
        <v>119376</v>
      </c>
      <c r="M447" s="19">
        <f ca="1">SUMIFS(OFFSET('BPC Data'!$F:$F,0,Summary!M$2),'BPC Data'!$E:$E,Summary!$D447,'BPC Data'!$B:$B,Summary!$C447)</f>
        <v>119376</v>
      </c>
      <c r="N447" s="183">
        <f ca="1">SUMIFS(OFFSET('BPC Data'!$F:$F,0,Summary!N$2),'BPC Data'!$E:$E,Summary!$D447,'BPC Data'!$B:$B,Summary!$C447)</f>
        <v>119376</v>
      </c>
      <c r="O447" s="19">
        <f ca="1">SUMIFS(OFFSET('BPC Data'!$F:$F,0,Summary!O$2),'BPC Data'!$E:$E,Summary!$D447,'BPC Data'!$B:$B,Summary!$C447)</f>
        <v>119376</v>
      </c>
      <c r="P447" s="183">
        <f ca="1">SUMIFS(OFFSET('BPC Data'!$F:$F,0,Summary!P$2),'BPC Data'!$E:$E,Summary!$D447,'BPC Data'!$B:$B,Summary!$C447)</f>
        <v>119376</v>
      </c>
      <c r="Q447" s="19">
        <f ca="1">SUMIFS(OFFSET('BPC Data'!$F:$F,0,Summary!Q$2),'BPC Data'!$E:$E,Summary!$D447,'BPC Data'!$B:$B,Summary!$C447)</f>
        <v>119376</v>
      </c>
      <c r="R447" s="183">
        <f ca="1">SUMIFS(OFFSET('BPC Data'!$F:$F,0,Summary!R$2),'BPC Data'!$E:$E,Summary!$D447,'BPC Data'!$B:$B,Summary!$C447)</f>
        <v>119376</v>
      </c>
      <c r="S447" s="187">
        <f t="shared" ca="1" si="137"/>
        <v>1423776</v>
      </c>
      <c r="T447" s="181"/>
    </row>
    <row r="448" spans="1:20" s="17" customFormat="1" outlineLevel="1" x14ac:dyDescent="0.25">
      <c r="A448" s="17">
        <f t="shared" si="151"/>
        <v>40</v>
      </c>
      <c r="B448"/>
      <c r="C448"/>
      <c r="D448" s="1" t="str">
        <f t="shared" si="141"/>
        <v>x</v>
      </c>
      <c r="E448"/>
      <c r="F448" s="24" t="s">
        <v>0</v>
      </c>
      <c r="G448" s="12">
        <f ca="1">G446/G447</f>
        <v>1.8391691853276548</v>
      </c>
      <c r="H448" s="184">
        <f t="shared" ref="H448:I448" ca="1" si="152">H446/H447</f>
        <v>1.9825439620827037</v>
      </c>
      <c r="I448" s="12">
        <f t="shared" ca="1" si="152"/>
        <v>1.045078307459816</v>
      </c>
      <c r="J448" s="184">
        <f t="shared" ref="J448:R448" ca="1" si="153">J446/J447</f>
        <v>0.22815306259214582</v>
      </c>
      <c r="K448" s="12">
        <f t="shared" ca="1" si="153"/>
        <v>0.43104979225304918</v>
      </c>
      <c r="L448" s="184">
        <f t="shared" ca="1" si="153"/>
        <v>-0.24329010856453559</v>
      </c>
      <c r="M448" s="12">
        <f t="shared" ca="1" si="153"/>
        <v>2.0455032837421259</v>
      </c>
      <c r="N448" s="184">
        <f t="shared" ca="1" si="153"/>
        <v>1.5212354242058705</v>
      </c>
      <c r="O448" s="12">
        <f t="shared" ca="1" si="153"/>
        <v>1.4817802573381584</v>
      </c>
      <c r="P448" s="184">
        <f t="shared" ca="1" si="153"/>
        <v>0.97502848143680476</v>
      </c>
      <c r="Q448" s="12">
        <f t="shared" ca="1" si="153"/>
        <v>1.4968335343787695</v>
      </c>
      <c r="R448" s="184">
        <f t="shared" ca="1" si="153"/>
        <v>1.5063999463878837</v>
      </c>
      <c r="S448" s="187">
        <f t="shared" ca="1" si="137"/>
        <v>14.309485128640446</v>
      </c>
      <c r="T448" s="181"/>
    </row>
    <row r="449" spans="1:20" s="17" customFormat="1" outlineLevel="1" x14ac:dyDescent="0.25">
      <c r="A449" s="17">
        <f>IF(AND(D449&lt;&gt;"",C449=""),A448+1,A448)</f>
        <v>41</v>
      </c>
      <c r="B449" s="5"/>
      <c r="C449" s="5"/>
      <c r="D449" s="5" t="str">
        <f t="shared" si="141"/>
        <v>x</v>
      </c>
      <c r="E449" s="5"/>
      <c r="F449" s="23" t="str">
        <f>INDEX(PropertyList!$D:$D,MATCH(Summary!$A449,PropertyList!$C:$C,0))</f>
        <v>SHC of Hartford Rehab &amp; Wellness Center</v>
      </c>
      <c r="G449" s="11"/>
      <c r="H449" s="182"/>
      <c r="I449" s="11"/>
      <c r="J449" s="182"/>
      <c r="K449" s="11"/>
      <c r="L449" s="182"/>
      <c r="M449" s="11"/>
      <c r="N449" s="182"/>
      <c r="O449" s="11"/>
      <c r="P449" s="182"/>
      <c r="Q449" s="11"/>
      <c r="R449" s="182"/>
      <c r="S449" s="187">
        <f t="shared" si="137"/>
        <v>0</v>
      </c>
      <c r="T449" s="181"/>
    </row>
    <row r="450" spans="1:20" s="17" customFormat="1" outlineLevel="1" x14ac:dyDescent="0.25">
      <c r="A450" s="17">
        <f>IF(AND(F450&lt;&gt;"",D450=""),A449+1,A449)</f>
        <v>41</v>
      </c>
      <c r="C450" t="str">
        <f>$F449</f>
        <v>SHC of Hartford Rehab &amp; Wellness Center</v>
      </c>
      <c r="D450" s="3" t="str">
        <f t="shared" si="141"/>
        <v>PAY_PAT_DAYS - Total Payor Patient Days</v>
      </c>
      <c r="F450" s="24" t="str">
        <f>_xll.EVDES(D450)</f>
        <v>Total Payor Patient Days</v>
      </c>
      <c r="G450" s="19">
        <f ca="1">SUMIFS(OFFSET('BPC Data'!$F:$F,0,Summary!G$2),'BPC Data'!$E:$E,Summary!$D450,'BPC Data'!$B:$B,Summary!$C450)</f>
        <v>2455</v>
      </c>
      <c r="H450" s="183">
        <f ca="1">SUMIFS(OFFSET('BPC Data'!$F:$F,0,Summary!H$2),'BPC Data'!$E:$E,Summary!$D450,'BPC Data'!$B:$B,Summary!$C450)</f>
        <v>2728</v>
      </c>
      <c r="I450" s="19">
        <f ca="1">SUMIFS(OFFSET('BPC Data'!$F:$F,0,Summary!I$2),'BPC Data'!$E:$E,Summary!$D450,'BPC Data'!$B:$B,Summary!$C450)</f>
        <v>2825</v>
      </c>
      <c r="J450" s="183">
        <f ca="1">SUMIFS(OFFSET('BPC Data'!$F:$F,0,Summary!J$2),'BPC Data'!$E:$E,Summary!$D450,'BPC Data'!$B:$B,Summary!$C450)</f>
        <v>2824</v>
      </c>
      <c r="K450" s="19">
        <f ca="1">SUMIFS(OFFSET('BPC Data'!$F:$F,0,Summary!K$2),'BPC Data'!$E:$E,Summary!$D450,'BPC Data'!$B:$B,Summary!$C450)</f>
        <v>2727</v>
      </c>
      <c r="L450" s="183">
        <f ca="1">SUMIFS(OFFSET('BPC Data'!$F:$F,0,Summary!L$2),'BPC Data'!$E:$E,Summary!$D450,'BPC Data'!$B:$B,Summary!$C450)</f>
        <v>2277</v>
      </c>
      <c r="M450" s="19">
        <f ca="1">SUMIFS(OFFSET('BPC Data'!$F:$F,0,Summary!M$2),'BPC Data'!$E:$E,Summary!$D450,'BPC Data'!$B:$B,Summary!$C450)</f>
        <v>2598</v>
      </c>
      <c r="N450" s="183">
        <f ca="1">SUMIFS(OFFSET('BPC Data'!$F:$F,0,Summary!N$2),'BPC Data'!$E:$E,Summary!$D450,'BPC Data'!$B:$B,Summary!$C450)</f>
        <v>2483</v>
      </c>
      <c r="O450" s="19">
        <f ca="1">SUMIFS(OFFSET('BPC Data'!$F:$F,0,Summary!O$2),'BPC Data'!$E:$E,Summary!$D450,'BPC Data'!$B:$B,Summary!$C450)</f>
        <v>2762</v>
      </c>
      <c r="P450" s="183">
        <f ca="1">SUMIFS(OFFSET('BPC Data'!$F:$F,0,Summary!P$2),'BPC Data'!$E:$E,Summary!$D450,'BPC Data'!$B:$B,Summary!$C450)</f>
        <v>2748</v>
      </c>
      <c r="Q450" s="19">
        <f ca="1">SUMIFS(OFFSET('BPC Data'!$F:$F,0,Summary!Q$2),'BPC Data'!$E:$E,Summary!$D450,'BPC Data'!$B:$B,Summary!$C450)</f>
        <v>2771</v>
      </c>
      <c r="R450" s="183">
        <f ca="1">SUMIFS(OFFSET('BPC Data'!$F:$F,0,Summary!R$2),'BPC Data'!$E:$E,Summary!$D450,'BPC Data'!$B:$B,Summary!$C450)</f>
        <v>2783</v>
      </c>
      <c r="S450" s="187">
        <f t="shared" ca="1" si="137"/>
        <v>31981</v>
      </c>
      <c r="T450" s="181"/>
    </row>
    <row r="451" spans="1:20" s="17" customFormat="1" outlineLevel="1" x14ac:dyDescent="0.25">
      <c r="A451" s="17">
        <f t="shared" ref="A451:A459" si="154">IF(AND(F451&lt;&gt;"",D451=""),A450+1,A450)</f>
        <v>41</v>
      </c>
      <c r="C451" t="str">
        <f>$F449</f>
        <v>SHC of Hartford Rehab &amp; Wellness Center</v>
      </c>
      <c r="D451" s="3" t="str">
        <f t="shared" si="141"/>
        <v>A_BEDS_TOTAL - Total Available Beds</v>
      </c>
      <c r="F451" s="24" t="str">
        <f>_xll.EVDES(D451)</f>
        <v>Total Available Beds</v>
      </c>
      <c r="G451" s="19">
        <f ca="1">SUMIFS(OFFSET('BPC Data'!$F:$F,0,Summary!G$2),'BPC Data'!$E:$E,Summary!$D451,'BPC Data'!$B:$B,Summary!$C451)</f>
        <v>110</v>
      </c>
      <c r="H451" s="183">
        <f ca="1">SUMIFS(OFFSET('BPC Data'!$F:$F,0,Summary!H$2),'BPC Data'!$E:$E,Summary!$D451,'BPC Data'!$B:$B,Summary!$C451)</f>
        <v>110</v>
      </c>
      <c r="I451" s="19">
        <f ca="1">SUMIFS(OFFSET('BPC Data'!$F:$F,0,Summary!I$2),'BPC Data'!$E:$E,Summary!$D451,'BPC Data'!$B:$B,Summary!$C451)</f>
        <v>110</v>
      </c>
      <c r="J451" s="183">
        <f ca="1">SUMIFS(OFFSET('BPC Data'!$F:$F,0,Summary!J$2),'BPC Data'!$E:$E,Summary!$D451,'BPC Data'!$B:$B,Summary!$C451)</f>
        <v>110</v>
      </c>
      <c r="K451" s="19">
        <f ca="1">SUMIFS(OFFSET('BPC Data'!$F:$F,0,Summary!K$2),'BPC Data'!$E:$E,Summary!$D451,'BPC Data'!$B:$B,Summary!$C451)</f>
        <v>110</v>
      </c>
      <c r="L451" s="183">
        <f ca="1">SUMIFS(OFFSET('BPC Data'!$F:$F,0,Summary!L$2),'BPC Data'!$E:$E,Summary!$D451,'BPC Data'!$B:$B,Summary!$C451)</f>
        <v>110</v>
      </c>
      <c r="M451" s="19">
        <f ca="1">SUMIFS(OFFSET('BPC Data'!$F:$F,0,Summary!M$2),'BPC Data'!$E:$E,Summary!$D451,'BPC Data'!$B:$B,Summary!$C451)</f>
        <v>110</v>
      </c>
      <c r="N451" s="183">
        <f ca="1">SUMIFS(OFFSET('BPC Data'!$F:$F,0,Summary!N$2),'BPC Data'!$E:$E,Summary!$D451,'BPC Data'!$B:$B,Summary!$C451)</f>
        <v>110</v>
      </c>
      <c r="O451" s="19">
        <f ca="1">SUMIFS(OFFSET('BPC Data'!$F:$F,0,Summary!O$2),'BPC Data'!$E:$E,Summary!$D451,'BPC Data'!$B:$B,Summary!$C451)</f>
        <v>110</v>
      </c>
      <c r="P451" s="183">
        <f ca="1">SUMIFS(OFFSET('BPC Data'!$F:$F,0,Summary!P$2),'BPC Data'!$E:$E,Summary!$D451,'BPC Data'!$B:$B,Summary!$C451)</f>
        <v>110</v>
      </c>
      <c r="Q451" s="19">
        <f ca="1">SUMIFS(OFFSET('BPC Data'!$F:$F,0,Summary!Q$2),'BPC Data'!$E:$E,Summary!$D451,'BPC Data'!$B:$B,Summary!$C451)</f>
        <v>110</v>
      </c>
      <c r="R451" s="183">
        <f ca="1">SUMIFS(OFFSET('BPC Data'!$F:$F,0,Summary!R$2),'BPC Data'!$E:$E,Summary!$D451,'BPC Data'!$B:$B,Summary!$C451)</f>
        <v>110</v>
      </c>
      <c r="S451" s="187">
        <f ca="1">R451</f>
        <v>110</v>
      </c>
      <c r="T451" s="181"/>
    </row>
    <row r="452" spans="1:20" s="17" customFormat="1" outlineLevel="1" x14ac:dyDescent="0.25">
      <c r="A452" s="17">
        <f t="shared" si="154"/>
        <v>41</v>
      </c>
      <c r="B452"/>
      <c r="C452" t="str">
        <f>$F449</f>
        <v>SHC of Hartford Rehab &amp; Wellness Center</v>
      </c>
      <c r="D452" s="3" t="str">
        <f t="shared" si="141"/>
        <v>T_REVENUES - Total Tenant Revenues</v>
      </c>
      <c r="E452"/>
      <c r="F452" s="24" t="str">
        <f>_xll.EVDES(D452)</f>
        <v>Total Tenant Revenues</v>
      </c>
      <c r="G452" s="19">
        <f ca="1">SUMIFS(OFFSET('BPC Data'!$F:$F,0,Summary!G$2),'BPC Data'!$E:$E,Summary!$D452,'BPC Data'!$B:$B,Summary!$C452)</f>
        <v>738861</v>
      </c>
      <c r="H452" s="183">
        <f ca="1">SUMIFS(OFFSET('BPC Data'!$F:$F,0,Summary!H$2),'BPC Data'!$E:$E,Summary!$D452,'BPC Data'!$B:$B,Summary!$C452)</f>
        <v>841021</v>
      </c>
      <c r="I452" s="19">
        <f ca="1">SUMIFS(OFFSET('BPC Data'!$F:$F,0,Summary!I$2),'BPC Data'!$E:$E,Summary!$D452,'BPC Data'!$B:$B,Summary!$C452)</f>
        <v>823794</v>
      </c>
      <c r="J452" s="183">
        <f ca="1">SUMIFS(OFFSET('BPC Data'!$F:$F,0,Summary!J$2),'BPC Data'!$E:$E,Summary!$D452,'BPC Data'!$B:$B,Summary!$C452)</f>
        <v>750593</v>
      </c>
      <c r="K452" s="19">
        <f ca="1">SUMIFS(OFFSET('BPC Data'!$F:$F,0,Summary!K$2),'BPC Data'!$E:$E,Summary!$D452,'BPC Data'!$B:$B,Summary!$C452)</f>
        <v>865288</v>
      </c>
      <c r="L452" s="183">
        <f ca="1">SUMIFS(OFFSET('BPC Data'!$F:$F,0,Summary!L$2),'BPC Data'!$E:$E,Summary!$D452,'BPC Data'!$B:$B,Summary!$C452)</f>
        <v>654077</v>
      </c>
      <c r="M452" s="19">
        <f ca="1">SUMIFS(OFFSET('BPC Data'!$F:$F,0,Summary!M$2),'BPC Data'!$E:$E,Summary!$D452,'BPC Data'!$B:$B,Summary!$C452)</f>
        <v>839103</v>
      </c>
      <c r="N452" s="183">
        <f ca="1">SUMIFS(OFFSET('BPC Data'!$F:$F,0,Summary!N$2),'BPC Data'!$E:$E,Summary!$D452,'BPC Data'!$B:$B,Summary!$C452)</f>
        <v>699603</v>
      </c>
      <c r="O452" s="19">
        <f ca="1">SUMIFS(OFFSET('BPC Data'!$F:$F,0,Summary!O$2),'BPC Data'!$E:$E,Summary!$D452,'BPC Data'!$B:$B,Summary!$C452)</f>
        <v>814394</v>
      </c>
      <c r="P452" s="183">
        <f ca="1">SUMIFS(OFFSET('BPC Data'!$F:$F,0,Summary!P$2),'BPC Data'!$E:$E,Summary!$D452,'BPC Data'!$B:$B,Summary!$C452)</f>
        <v>762379</v>
      </c>
      <c r="Q452" s="19">
        <f ca="1">SUMIFS(OFFSET('BPC Data'!$F:$F,0,Summary!Q$2),'BPC Data'!$E:$E,Summary!$D452,'BPC Data'!$B:$B,Summary!$C452)</f>
        <v>778680</v>
      </c>
      <c r="R452" s="183">
        <f ca="1">SUMIFS(OFFSET('BPC Data'!$F:$F,0,Summary!R$2),'BPC Data'!$E:$E,Summary!$D452,'BPC Data'!$B:$B,Summary!$C452)</f>
        <v>816893</v>
      </c>
      <c r="S452" s="187">
        <f t="shared" ca="1" si="137"/>
        <v>9384686</v>
      </c>
      <c r="T452" s="181"/>
    </row>
    <row r="453" spans="1:20" s="17" customFormat="1" outlineLevel="1" x14ac:dyDescent="0.25">
      <c r="A453" s="17">
        <f t="shared" si="154"/>
        <v>41</v>
      </c>
      <c r="B453"/>
      <c r="C453" t="str">
        <f>$F449</f>
        <v>SHC of Hartford Rehab &amp; Wellness Center</v>
      </c>
      <c r="D453" s="3" t="str">
        <f t="shared" si="141"/>
        <v>T_OPEX - Tenant Operating Expenses</v>
      </c>
      <c r="E453"/>
      <c r="F453" s="24" t="str">
        <f>_xll.EVDES(D453)</f>
        <v>Tenant Operating Expenses</v>
      </c>
      <c r="G453" s="19">
        <f ca="1">SUMIFS(OFFSET('BPC Data'!$F:$F,0,Summary!G$2),'BPC Data'!$E:$E,Summary!$D453,'BPC Data'!$B:$B,Summary!$C453)</f>
        <v>642533</v>
      </c>
      <c r="H453" s="183">
        <f ca="1">SUMIFS(OFFSET('BPC Data'!$F:$F,0,Summary!H$2),'BPC Data'!$E:$E,Summary!$D453,'BPC Data'!$B:$B,Summary!$C453)</f>
        <v>658945</v>
      </c>
      <c r="I453" s="19">
        <f ca="1">SUMIFS(OFFSET('BPC Data'!$F:$F,0,Summary!I$2),'BPC Data'!$E:$E,Summary!$D453,'BPC Data'!$B:$B,Summary!$C453)</f>
        <v>682671</v>
      </c>
      <c r="J453" s="183">
        <f ca="1">SUMIFS(OFFSET('BPC Data'!$F:$F,0,Summary!J$2),'BPC Data'!$E:$E,Summary!$D453,'BPC Data'!$B:$B,Summary!$C453)</f>
        <v>784423</v>
      </c>
      <c r="K453" s="19">
        <f ca="1">SUMIFS(OFFSET('BPC Data'!$F:$F,0,Summary!K$2),'BPC Data'!$E:$E,Summary!$D453,'BPC Data'!$B:$B,Summary!$C453)</f>
        <v>698937</v>
      </c>
      <c r="L453" s="183">
        <f ca="1">SUMIFS(OFFSET('BPC Data'!$F:$F,0,Summary!L$2),'BPC Data'!$E:$E,Summary!$D453,'BPC Data'!$B:$B,Summary!$C453)</f>
        <v>604974</v>
      </c>
      <c r="M453" s="19">
        <f ca="1">SUMIFS(OFFSET('BPC Data'!$F:$F,0,Summary!M$2),'BPC Data'!$E:$E,Summary!$D453,'BPC Data'!$B:$B,Summary!$C453)</f>
        <v>645700</v>
      </c>
      <c r="N453" s="183">
        <f ca="1">SUMIFS(OFFSET('BPC Data'!$F:$F,0,Summary!N$2),'BPC Data'!$E:$E,Summary!$D453,'BPC Data'!$B:$B,Summary!$C453)</f>
        <v>626829</v>
      </c>
      <c r="O453" s="19">
        <f ca="1">SUMIFS(OFFSET('BPC Data'!$F:$F,0,Summary!O$2),'BPC Data'!$E:$E,Summary!$D453,'BPC Data'!$B:$B,Summary!$C453)</f>
        <v>630441</v>
      </c>
      <c r="P453" s="183">
        <f ca="1">SUMIFS(OFFSET('BPC Data'!$F:$F,0,Summary!P$2),'BPC Data'!$E:$E,Summary!$D453,'BPC Data'!$B:$B,Summary!$C453)</f>
        <v>607466</v>
      </c>
      <c r="Q453" s="19">
        <f ca="1">SUMIFS(OFFSET('BPC Data'!$F:$F,0,Summary!Q$2),'BPC Data'!$E:$E,Summary!$D453,'BPC Data'!$B:$B,Summary!$C453)</f>
        <v>639928</v>
      </c>
      <c r="R453" s="183">
        <f ca="1">SUMIFS(OFFSET('BPC Data'!$F:$F,0,Summary!R$2),'BPC Data'!$E:$E,Summary!$D453,'BPC Data'!$B:$B,Summary!$C453)</f>
        <v>623253</v>
      </c>
      <c r="S453" s="187">
        <f t="shared" ca="1" si="137"/>
        <v>7846100</v>
      </c>
      <c r="T453" s="181"/>
    </row>
    <row r="454" spans="1:20" s="17" customFormat="1" outlineLevel="1" x14ac:dyDescent="0.25">
      <c r="A454" s="17">
        <f t="shared" si="154"/>
        <v>41</v>
      </c>
      <c r="B454"/>
      <c r="C454" t="str">
        <f>$F449</f>
        <v>SHC of Hartford Rehab &amp; Wellness Center</v>
      </c>
      <c r="D454" s="3" t="str">
        <f t="shared" si="141"/>
        <v>T_BAD_DEBT - Tenant Bad Debt Expense</v>
      </c>
      <c r="E454"/>
      <c r="F454" s="24" t="str">
        <f>_xll.EVDES(D454)</f>
        <v>Tenant Bad Debt Expense</v>
      </c>
      <c r="G454" s="19">
        <f ca="1">SUMIFS(OFFSET('BPC Data'!$F:$F,0,Summary!G$2),'BPC Data'!$E:$E,Summary!$D454,'BPC Data'!$B:$B,Summary!$C454)</f>
        <v>5000</v>
      </c>
      <c r="H454" s="183">
        <f ca="1">SUMIFS(OFFSET('BPC Data'!$F:$F,0,Summary!H$2),'BPC Data'!$E:$E,Summary!$D454,'BPC Data'!$B:$B,Summary!$C454)</f>
        <v>6275</v>
      </c>
      <c r="I454" s="19">
        <f ca="1">SUMIFS(OFFSET('BPC Data'!$F:$F,0,Summary!I$2),'BPC Data'!$E:$E,Summary!$D454,'BPC Data'!$B:$B,Summary!$C454)</f>
        <v>7500</v>
      </c>
      <c r="J454" s="183">
        <f ca="1">SUMIFS(OFFSET('BPC Data'!$F:$F,0,Summary!J$2),'BPC Data'!$E:$E,Summary!$D454,'BPC Data'!$B:$B,Summary!$C454)</f>
        <v>33746</v>
      </c>
      <c r="K454" s="19">
        <f ca="1">SUMIFS(OFFSET('BPC Data'!$F:$F,0,Summary!K$2),'BPC Data'!$E:$E,Summary!$D454,'BPC Data'!$B:$B,Summary!$C454)</f>
        <v>12500</v>
      </c>
      <c r="L454" s="183">
        <f ca="1">SUMIFS(OFFSET('BPC Data'!$F:$F,0,Summary!L$2),'BPC Data'!$E:$E,Summary!$D454,'BPC Data'!$B:$B,Summary!$C454)</f>
        <v>15000</v>
      </c>
      <c r="M454" s="19">
        <f ca="1">SUMIFS(OFFSET('BPC Data'!$F:$F,0,Summary!M$2),'BPC Data'!$E:$E,Summary!$D454,'BPC Data'!$B:$B,Summary!$C454)</f>
        <v>5171</v>
      </c>
      <c r="N454" s="183">
        <f ca="1">SUMIFS(OFFSET('BPC Data'!$F:$F,0,Summary!N$2),'BPC Data'!$E:$E,Summary!$D454,'BPC Data'!$B:$B,Summary!$C454)</f>
        <v>18413</v>
      </c>
      <c r="O454" s="19">
        <f ca="1">SUMIFS(OFFSET('BPC Data'!$F:$F,0,Summary!O$2),'BPC Data'!$E:$E,Summary!$D454,'BPC Data'!$B:$B,Summary!$C454)</f>
        <v>5000</v>
      </c>
      <c r="P454" s="183">
        <f ca="1">SUMIFS(OFFSET('BPC Data'!$F:$F,0,Summary!P$2),'BPC Data'!$E:$E,Summary!$D454,'BPC Data'!$B:$B,Summary!$C454)</f>
        <v>17500</v>
      </c>
      <c r="Q454" s="19">
        <f ca="1">SUMIFS(OFFSET('BPC Data'!$F:$F,0,Summary!Q$2),'BPC Data'!$E:$E,Summary!$D454,'BPC Data'!$B:$B,Summary!$C454)</f>
        <v>15000</v>
      </c>
      <c r="R454" s="183">
        <f ca="1">SUMIFS(OFFSET('BPC Data'!$F:$F,0,Summary!R$2),'BPC Data'!$E:$E,Summary!$D454,'BPC Data'!$B:$B,Summary!$C454)</f>
        <v>10000</v>
      </c>
      <c r="S454" s="187">
        <f t="shared" ca="1" si="137"/>
        <v>151105</v>
      </c>
      <c r="T454" s="181"/>
    </row>
    <row r="455" spans="1:20" s="17" customFormat="1" outlineLevel="1" x14ac:dyDescent="0.25">
      <c r="A455" s="17">
        <f t="shared" si="154"/>
        <v>41</v>
      </c>
      <c r="B455"/>
      <c r="C455" t="str">
        <f>$F449</f>
        <v>SHC of Hartford Rehab &amp; Wellness Center</v>
      </c>
      <c r="D455" s="2" t="str">
        <f t="shared" si="141"/>
        <v>T_EBITDARM - EBITDARM</v>
      </c>
      <c r="E455"/>
      <c r="F455" s="24" t="str">
        <f>_xll.EVDES(D455)</f>
        <v>EBITDARM</v>
      </c>
      <c r="G455" s="19">
        <f ca="1">SUMIFS(OFFSET('BPC Data'!$F:$F,0,Summary!G$2),'BPC Data'!$E:$E,Summary!$D455,'BPC Data'!$B:$B,Summary!$C455)</f>
        <v>96328</v>
      </c>
      <c r="H455" s="183">
        <f ca="1">SUMIFS(OFFSET('BPC Data'!$F:$F,0,Summary!H$2),'BPC Data'!$E:$E,Summary!$D455,'BPC Data'!$B:$B,Summary!$C455)</f>
        <v>182076</v>
      </c>
      <c r="I455" s="19">
        <f ca="1">SUMIFS(OFFSET('BPC Data'!$F:$F,0,Summary!I$2),'BPC Data'!$E:$E,Summary!$D455,'BPC Data'!$B:$B,Summary!$C455)</f>
        <v>141123</v>
      </c>
      <c r="J455" s="183">
        <f ca="1">SUMIFS(OFFSET('BPC Data'!$F:$F,0,Summary!J$2),'BPC Data'!$E:$E,Summary!$D455,'BPC Data'!$B:$B,Summary!$C455)</f>
        <v>-33830</v>
      </c>
      <c r="K455" s="19">
        <f ca="1">SUMIFS(OFFSET('BPC Data'!$F:$F,0,Summary!K$2),'BPC Data'!$E:$E,Summary!$D455,'BPC Data'!$B:$B,Summary!$C455)</f>
        <v>166351</v>
      </c>
      <c r="L455" s="183">
        <f ca="1">SUMIFS(OFFSET('BPC Data'!$F:$F,0,Summary!L$2),'BPC Data'!$E:$E,Summary!$D455,'BPC Data'!$B:$B,Summary!$C455)</f>
        <v>49103</v>
      </c>
      <c r="M455" s="19">
        <f ca="1">SUMIFS(OFFSET('BPC Data'!$F:$F,0,Summary!M$2),'BPC Data'!$E:$E,Summary!$D455,'BPC Data'!$B:$B,Summary!$C455)</f>
        <v>193403</v>
      </c>
      <c r="N455" s="183">
        <f ca="1">SUMIFS(OFFSET('BPC Data'!$F:$F,0,Summary!N$2),'BPC Data'!$E:$E,Summary!$D455,'BPC Data'!$B:$B,Summary!$C455)</f>
        <v>72774</v>
      </c>
      <c r="O455" s="19">
        <f ca="1">SUMIFS(OFFSET('BPC Data'!$F:$F,0,Summary!O$2),'BPC Data'!$E:$E,Summary!$D455,'BPC Data'!$B:$B,Summary!$C455)</f>
        <v>183953</v>
      </c>
      <c r="P455" s="183">
        <f ca="1">SUMIFS(OFFSET('BPC Data'!$F:$F,0,Summary!P$2),'BPC Data'!$E:$E,Summary!$D455,'BPC Data'!$B:$B,Summary!$C455)</f>
        <v>154913</v>
      </c>
      <c r="Q455" s="19">
        <f ca="1">SUMIFS(OFFSET('BPC Data'!$F:$F,0,Summary!Q$2),'BPC Data'!$E:$E,Summary!$D455,'BPC Data'!$B:$B,Summary!$C455)</f>
        <v>138752</v>
      </c>
      <c r="R455" s="183">
        <f ca="1">SUMIFS(OFFSET('BPC Data'!$F:$F,0,Summary!R$2),'BPC Data'!$E:$E,Summary!$D455,'BPC Data'!$B:$B,Summary!$C455)</f>
        <v>193640</v>
      </c>
      <c r="S455" s="187">
        <f t="shared" ca="1" si="137"/>
        <v>1538586</v>
      </c>
      <c r="T455" s="181"/>
    </row>
    <row r="456" spans="1:20" s="17" customFormat="1" outlineLevel="1" x14ac:dyDescent="0.25">
      <c r="A456" s="17">
        <f t="shared" si="154"/>
        <v>41</v>
      </c>
      <c r="B456"/>
      <c r="C456" t="str">
        <f>$F449</f>
        <v>SHC of Hartford Rehab &amp; Wellness Center</v>
      </c>
      <c r="D456" s="2" t="str">
        <f t="shared" si="141"/>
        <v>T_MGMT_FEE - Tenant Management Fee - Actual</v>
      </c>
      <c r="E456"/>
      <c r="F456" s="24" t="str">
        <f>_xll.EVDES(D456)</f>
        <v>Tenant Management Fee - Actual</v>
      </c>
      <c r="G456" s="19">
        <f ca="1">SUMIFS(OFFSET('BPC Data'!$F:$F,0,Summary!G$2),'BPC Data'!$E:$E,Summary!$D456,'BPC Data'!$B:$B,Summary!$C456)</f>
        <v>37312</v>
      </c>
      <c r="H456" s="183">
        <f ca="1">SUMIFS(OFFSET('BPC Data'!$F:$F,0,Summary!H$2),'BPC Data'!$E:$E,Summary!$D456,'BPC Data'!$B:$B,Summary!$C456)</f>
        <v>42472</v>
      </c>
      <c r="I456" s="19">
        <f ca="1">SUMIFS(OFFSET('BPC Data'!$F:$F,0,Summary!I$2),'BPC Data'!$E:$E,Summary!$D456,'BPC Data'!$B:$B,Summary!$C456)</f>
        <v>41602</v>
      </c>
      <c r="J456" s="183">
        <f ca="1">SUMIFS(OFFSET('BPC Data'!$F:$F,0,Summary!J$2),'BPC Data'!$E:$E,Summary!$D456,'BPC Data'!$B:$B,Summary!$C456)</f>
        <v>24815</v>
      </c>
      <c r="K456" s="19">
        <f ca="1">SUMIFS(OFFSET('BPC Data'!$F:$F,0,Summary!K$2),'BPC Data'!$E:$E,Summary!$D456,'BPC Data'!$B:$B,Summary!$C456)</f>
        <v>43697</v>
      </c>
      <c r="L456" s="183">
        <f ca="1">SUMIFS(OFFSET('BPC Data'!$F:$F,0,Summary!L$2),'BPC Data'!$E:$E,Summary!$D456,'BPC Data'!$B:$B,Summary!$C456)</f>
        <v>33031</v>
      </c>
      <c r="M456" s="19">
        <f ca="1">SUMIFS(OFFSET('BPC Data'!$F:$F,0,Summary!M$2),'BPC Data'!$E:$E,Summary!$D456,'BPC Data'!$B:$B,Summary!$C456)</f>
        <v>42375</v>
      </c>
      <c r="N456" s="183">
        <f ca="1">SUMIFS(OFFSET('BPC Data'!$F:$F,0,Summary!N$2),'BPC Data'!$E:$E,Summary!$D456,'BPC Data'!$B:$B,Summary!$C456)</f>
        <v>35330</v>
      </c>
      <c r="O456" s="19">
        <f ca="1">SUMIFS(OFFSET('BPC Data'!$F:$F,0,Summary!O$2),'BPC Data'!$E:$E,Summary!$D456,'BPC Data'!$B:$B,Summary!$C456)</f>
        <v>41127</v>
      </c>
      <c r="P456" s="183">
        <f ca="1">SUMIFS(OFFSET('BPC Data'!$F:$F,0,Summary!P$2),'BPC Data'!$E:$E,Summary!$D456,'BPC Data'!$B:$B,Summary!$C456)</f>
        <v>38500</v>
      </c>
      <c r="Q456" s="19">
        <f ca="1">SUMIFS(OFFSET('BPC Data'!$F:$F,0,Summary!Q$2),'BPC Data'!$E:$E,Summary!$D456,'BPC Data'!$B:$B,Summary!$C456)</f>
        <v>39323</v>
      </c>
      <c r="R456" s="183">
        <f ca="1">SUMIFS(OFFSET('BPC Data'!$F:$F,0,Summary!R$2),'BPC Data'!$E:$E,Summary!$D456,'BPC Data'!$B:$B,Summary!$C456)</f>
        <v>41253</v>
      </c>
      <c r="S456" s="187">
        <f t="shared" ca="1" si="137"/>
        <v>460837</v>
      </c>
      <c r="T456" s="181"/>
    </row>
    <row r="457" spans="1:20" s="17" customFormat="1" outlineLevel="1" x14ac:dyDescent="0.25">
      <c r="A457" s="17">
        <f t="shared" si="154"/>
        <v>41</v>
      </c>
      <c r="B457"/>
      <c r="C457" t="str">
        <f>$F449</f>
        <v>SHC of Hartford Rehab &amp; Wellness Center</v>
      </c>
      <c r="D457" s="1" t="str">
        <f t="shared" si="141"/>
        <v>T_EBITDAR - EBITDAR</v>
      </c>
      <c r="E457"/>
      <c r="F457" s="24" t="str">
        <f>_xll.EVDES(D457)</f>
        <v>EBITDAR</v>
      </c>
      <c r="G457" s="19">
        <f ca="1">SUMIFS(OFFSET('BPC Data'!$F:$F,0,Summary!G$2),'BPC Data'!$E:$E,Summary!$D457,'BPC Data'!$B:$B,Summary!$C457)</f>
        <v>59016</v>
      </c>
      <c r="H457" s="183">
        <f ca="1">SUMIFS(OFFSET('BPC Data'!$F:$F,0,Summary!H$2),'BPC Data'!$E:$E,Summary!$D457,'BPC Data'!$B:$B,Summary!$C457)</f>
        <v>139604</v>
      </c>
      <c r="I457" s="19">
        <f ca="1">SUMIFS(OFFSET('BPC Data'!$F:$F,0,Summary!I$2),'BPC Data'!$E:$E,Summary!$D457,'BPC Data'!$B:$B,Summary!$C457)</f>
        <v>99521</v>
      </c>
      <c r="J457" s="183">
        <f ca="1">SUMIFS(OFFSET('BPC Data'!$F:$F,0,Summary!J$2),'BPC Data'!$E:$E,Summary!$D457,'BPC Data'!$B:$B,Summary!$C457)</f>
        <v>-58645</v>
      </c>
      <c r="K457" s="19">
        <f ca="1">SUMIFS(OFFSET('BPC Data'!$F:$F,0,Summary!K$2),'BPC Data'!$E:$E,Summary!$D457,'BPC Data'!$B:$B,Summary!$C457)</f>
        <v>122654</v>
      </c>
      <c r="L457" s="183">
        <f ca="1">SUMIFS(OFFSET('BPC Data'!$F:$F,0,Summary!L$2),'BPC Data'!$E:$E,Summary!$D457,'BPC Data'!$B:$B,Summary!$C457)</f>
        <v>16072</v>
      </c>
      <c r="M457" s="19">
        <f ca="1">SUMIFS(OFFSET('BPC Data'!$F:$F,0,Summary!M$2),'BPC Data'!$E:$E,Summary!$D457,'BPC Data'!$B:$B,Summary!$C457)</f>
        <v>151028</v>
      </c>
      <c r="N457" s="183">
        <f ca="1">SUMIFS(OFFSET('BPC Data'!$F:$F,0,Summary!N$2),'BPC Data'!$E:$E,Summary!$D457,'BPC Data'!$B:$B,Summary!$C457)</f>
        <v>37444</v>
      </c>
      <c r="O457" s="19">
        <f ca="1">SUMIFS(OFFSET('BPC Data'!$F:$F,0,Summary!O$2),'BPC Data'!$E:$E,Summary!$D457,'BPC Data'!$B:$B,Summary!$C457)</f>
        <v>142826</v>
      </c>
      <c r="P457" s="183">
        <f ca="1">SUMIFS(OFFSET('BPC Data'!$F:$F,0,Summary!P$2),'BPC Data'!$E:$E,Summary!$D457,'BPC Data'!$B:$B,Summary!$C457)</f>
        <v>116413</v>
      </c>
      <c r="Q457" s="19">
        <f ca="1">SUMIFS(OFFSET('BPC Data'!$F:$F,0,Summary!Q$2),'BPC Data'!$E:$E,Summary!$D457,'BPC Data'!$B:$B,Summary!$C457)</f>
        <v>99429</v>
      </c>
      <c r="R457" s="183">
        <f ca="1">SUMIFS(OFFSET('BPC Data'!$F:$F,0,Summary!R$2),'BPC Data'!$E:$E,Summary!$D457,'BPC Data'!$B:$B,Summary!$C457)</f>
        <v>152387</v>
      </c>
      <c r="S457" s="187">
        <f t="shared" ca="1" si="137"/>
        <v>1077749</v>
      </c>
      <c r="T457" s="181"/>
    </row>
    <row r="458" spans="1:20" s="17" customFormat="1" outlineLevel="1" x14ac:dyDescent="0.25">
      <c r="A458" s="17">
        <f t="shared" si="154"/>
        <v>41</v>
      </c>
      <c r="B458"/>
      <c r="C458" t="str">
        <f>$F449</f>
        <v>SHC of Hartford Rehab &amp; Wellness Center</v>
      </c>
      <c r="D458" s="1" t="str">
        <f t="shared" si="141"/>
        <v>T_RENT_EXP - Tenant Rent Expense</v>
      </c>
      <c r="E458"/>
      <c r="F458" s="24" t="str">
        <f>_xll.EVDES(D458)</f>
        <v>Tenant Rent Expense</v>
      </c>
      <c r="G458" s="19">
        <f ca="1">SUMIFS(OFFSET('BPC Data'!$F:$F,0,Summary!G$2),'BPC Data'!$E:$E,Summary!$D458,'BPC Data'!$B:$B,Summary!$C458)</f>
        <v>34021</v>
      </c>
      <c r="H458" s="183">
        <f ca="1">SUMIFS(OFFSET('BPC Data'!$F:$F,0,Summary!H$2),'BPC Data'!$E:$E,Summary!$D458,'BPC Data'!$B:$B,Summary!$C458)</f>
        <v>34021</v>
      </c>
      <c r="I458" s="19">
        <f ca="1">SUMIFS(OFFSET('BPC Data'!$F:$F,0,Summary!I$2),'BPC Data'!$E:$E,Summary!$D458,'BPC Data'!$B:$B,Summary!$C458)</f>
        <v>34021</v>
      </c>
      <c r="J458" s="183">
        <f ca="1">SUMIFS(OFFSET('BPC Data'!$F:$F,0,Summary!J$2),'BPC Data'!$E:$E,Summary!$D458,'BPC Data'!$B:$B,Summary!$C458)</f>
        <v>34872</v>
      </c>
      <c r="K458" s="19">
        <f ca="1">SUMIFS(OFFSET('BPC Data'!$F:$F,0,Summary!K$2),'BPC Data'!$E:$E,Summary!$D458,'BPC Data'!$B:$B,Summary!$C458)</f>
        <v>34872</v>
      </c>
      <c r="L458" s="183">
        <f ca="1">SUMIFS(OFFSET('BPC Data'!$F:$F,0,Summary!L$2),'BPC Data'!$E:$E,Summary!$D458,'BPC Data'!$B:$B,Summary!$C458)</f>
        <v>34872</v>
      </c>
      <c r="M458" s="19">
        <f ca="1">SUMIFS(OFFSET('BPC Data'!$F:$F,0,Summary!M$2),'BPC Data'!$E:$E,Summary!$D458,'BPC Data'!$B:$B,Summary!$C458)</f>
        <v>34872</v>
      </c>
      <c r="N458" s="183">
        <f ca="1">SUMIFS(OFFSET('BPC Data'!$F:$F,0,Summary!N$2),'BPC Data'!$E:$E,Summary!$D458,'BPC Data'!$B:$B,Summary!$C458)</f>
        <v>34872</v>
      </c>
      <c r="O458" s="19">
        <f ca="1">SUMIFS(OFFSET('BPC Data'!$F:$F,0,Summary!O$2),'BPC Data'!$E:$E,Summary!$D458,'BPC Data'!$B:$B,Summary!$C458)</f>
        <v>34872</v>
      </c>
      <c r="P458" s="183">
        <f ca="1">SUMIFS(OFFSET('BPC Data'!$F:$F,0,Summary!P$2),'BPC Data'!$E:$E,Summary!$D458,'BPC Data'!$B:$B,Summary!$C458)</f>
        <v>34872</v>
      </c>
      <c r="Q458" s="19">
        <f ca="1">SUMIFS(OFFSET('BPC Data'!$F:$F,0,Summary!Q$2),'BPC Data'!$E:$E,Summary!$D458,'BPC Data'!$B:$B,Summary!$C458)</f>
        <v>34872</v>
      </c>
      <c r="R458" s="183">
        <f ca="1">SUMIFS(OFFSET('BPC Data'!$F:$F,0,Summary!R$2),'BPC Data'!$E:$E,Summary!$D458,'BPC Data'!$B:$B,Summary!$C458)</f>
        <v>34872</v>
      </c>
      <c r="S458" s="187">
        <f t="shared" ca="1" si="137"/>
        <v>415911</v>
      </c>
      <c r="T458" s="181"/>
    </row>
    <row r="459" spans="1:20" s="17" customFormat="1" outlineLevel="1" x14ac:dyDescent="0.25">
      <c r="A459" s="17">
        <f t="shared" si="154"/>
        <v>41</v>
      </c>
      <c r="B459"/>
      <c r="C459"/>
      <c r="D459" s="1" t="str">
        <f t="shared" si="141"/>
        <v>x</v>
      </c>
      <c r="E459"/>
      <c r="F459" s="24" t="s">
        <v>0</v>
      </c>
      <c r="G459" s="12">
        <f ca="1">G457/G458</f>
        <v>1.7346932776814321</v>
      </c>
      <c r="H459" s="184">
        <f t="shared" ref="H459:I459" ca="1" si="155">H457/H458</f>
        <v>4.103465506598865</v>
      </c>
      <c r="I459" s="12">
        <f t="shared" ca="1" si="155"/>
        <v>2.9252814438141148</v>
      </c>
      <c r="J459" s="184">
        <f t="shared" ref="J459:R459" ca="1" si="156">J457/J458</f>
        <v>-1.6817217251663226</v>
      </c>
      <c r="K459" s="12">
        <f t="shared" ca="1" si="156"/>
        <v>3.5172631337462721</v>
      </c>
      <c r="L459" s="184">
        <f t="shared" ca="1" si="156"/>
        <v>0.46088552420279882</v>
      </c>
      <c r="M459" s="12">
        <f t="shared" ca="1" si="156"/>
        <v>4.3309245239733887</v>
      </c>
      <c r="N459" s="184">
        <f t="shared" ca="1" si="156"/>
        <v>1.0737554484973617</v>
      </c>
      <c r="O459" s="12">
        <f t="shared" ca="1" si="156"/>
        <v>4.0957214957559076</v>
      </c>
      <c r="P459" s="184">
        <f t="shared" ca="1" si="156"/>
        <v>3.338294333562744</v>
      </c>
      <c r="Q459" s="12">
        <f t="shared" ca="1" si="156"/>
        <v>2.8512560220233998</v>
      </c>
      <c r="R459" s="184">
        <f t="shared" ca="1" si="156"/>
        <v>4.3698956182610686</v>
      </c>
      <c r="S459" s="187">
        <f t="shared" ref="S459:S522" ca="1" si="157">SUM(G459:R459)</f>
        <v>31.119714602951028</v>
      </c>
      <c r="T459" s="181"/>
    </row>
    <row r="460" spans="1:20" s="17" customFormat="1" outlineLevel="1" x14ac:dyDescent="0.25">
      <c r="A460" s="17">
        <f>IF(AND(D460&lt;&gt;"",C460=""),A459+1,A459)</f>
        <v>42</v>
      </c>
      <c r="B460" s="5"/>
      <c r="C460" s="5"/>
      <c r="D460" s="5" t="str">
        <f t="shared" si="141"/>
        <v>x</v>
      </c>
      <c r="E460" s="5"/>
      <c r="F460" s="23" t="str">
        <f>INDEX(PropertyList!$D:$D,MATCH(Summary!$A460,PropertyList!$C:$C,0))</f>
        <v>SHC at Rockford Rehab &amp; Wellness Center</v>
      </c>
      <c r="G460" s="11"/>
      <c r="H460" s="182"/>
      <c r="I460" s="11"/>
      <c r="J460" s="182"/>
      <c r="K460" s="11"/>
      <c r="L460" s="182"/>
      <c r="M460" s="11"/>
      <c r="N460" s="182"/>
      <c r="O460" s="11"/>
      <c r="P460" s="182"/>
      <c r="Q460" s="11"/>
      <c r="R460" s="182"/>
      <c r="S460" s="187">
        <f t="shared" si="157"/>
        <v>0</v>
      </c>
      <c r="T460" s="181"/>
    </row>
    <row r="461" spans="1:20" s="17" customFormat="1" outlineLevel="1" x14ac:dyDescent="0.25">
      <c r="A461" s="17">
        <f>IF(AND(F461&lt;&gt;"",D461=""),A460+1,A460)</f>
        <v>42</v>
      </c>
      <c r="C461" t="str">
        <f>$F460</f>
        <v>SHC at Rockford Rehab &amp; Wellness Center</v>
      </c>
      <c r="D461" s="3" t="str">
        <f t="shared" si="141"/>
        <v>PAY_PAT_DAYS - Total Payor Patient Days</v>
      </c>
      <c r="F461" s="24" t="str">
        <f>_xll.EVDES(D461)</f>
        <v>Total Payor Patient Days</v>
      </c>
      <c r="G461" s="19">
        <f ca="1">SUMIFS(OFFSET('BPC Data'!$F:$F,0,Summary!G$2),'BPC Data'!$E:$E,Summary!$D461,'BPC Data'!$B:$B,Summary!$C461)</f>
        <v>2679</v>
      </c>
      <c r="H461" s="183">
        <f ca="1">SUMIFS(OFFSET('BPC Data'!$F:$F,0,Summary!H$2),'BPC Data'!$E:$E,Summary!$D461,'BPC Data'!$B:$B,Summary!$C461)</f>
        <v>2773</v>
      </c>
      <c r="I461" s="19">
        <f ca="1">SUMIFS(OFFSET('BPC Data'!$F:$F,0,Summary!I$2),'BPC Data'!$E:$E,Summary!$D461,'BPC Data'!$B:$B,Summary!$C461)</f>
        <v>2653</v>
      </c>
      <c r="J461" s="183">
        <f ca="1">SUMIFS(OFFSET('BPC Data'!$F:$F,0,Summary!J$2),'BPC Data'!$E:$E,Summary!$D461,'BPC Data'!$B:$B,Summary!$C461)</f>
        <v>2400</v>
      </c>
      <c r="K461" s="19">
        <f ca="1">SUMIFS(OFFSET('BPC Data'!$F:$F,0,Summary!K$2),'BPC Data'!$E:$E,Summary!$D461,'BPC Data'!$B:$B,Summary!$C461)</f>
        <v>2220</v>
      </c>
      <c r="L461" s="183">
        <f ca="1">SUMIFS(OFFSET('BPC Data'!$F:$F,0,Summary!L$2),'BPC Data'!$E:$E,Summary!$D461,'BPC Data'!$B:$B,Summary!$C461)</f>
        <v>2121</v>
      </c>
      <c r="M461" s="19">
        <f ca="1">SUMIFS(OFFSET('BPC Data'!$F:$F,0,Summary!M$2),'BPC Data'!$E:$E,Summary!$D461,'BPC Data'!$B:$B,Summary!$C461)</f>
        <v>2494</v>
      </c>
      <c r="N461" s="183">
        <f ca="1">SUMIFS(OFFSET('BPC Data'!$F:$F,0,Summary!N$2),'BPC Data'!$E:$E,Summary!$D461,'BPC Data'!$B:$B,Summary!$C461)</f>
        <v>2502</v>
      </c>
      <c r="O461" s="19">
        <f ca="1">SUMIFS(OFFSET('BPC Data'!$F:$F,0,Summary!O$2),'BPC Data'!$E:$E,Summary!$D461,'BPC Data'!$B:$B,Summary!$C461)</f>
        <v>2632</v>
      </c>
      <c r="P461" s="183">
        <f ca="1">SUMIFS(OFFSET('BPC Data'!$F:$F,0,Summary!P$2),'BPC Data'!$E:$E,Summary!$D461,'BPC Data'!$B:$B,Summary!$C461)</f>
        <v>2655</v>
      </c>
      <c r="Q461" s="19">
        <f ca="1">SUMIFS(OFFSET('BPC Data'!$F:$F,0,Summary!Q$2),'BPC Data'!$E:$E,Summary!$D461,'BPC Data'!$B:$B,Summary!$C461)</f>
        <v>2811</v>
      </c>
      <c r="R461" s="183">
        <f ca="1">SUMIFS(OFFSET('BPC Data'!$F:$F,0,Summary!R$2),'BPC Data'!$E:$E,Summary!$D461,'BPC Data'!$B:$B,Summary!$C461)</f>
        <v>2852</v>
      </c>
      <c r="S461" s="187">
        <f t="shared" ca="1" si="157"/>
        <v>30792</v>
      </c>
      <c r="T461" s="181"/>
    </row>
    <row r="462" spans="1:20" s="17" customFormat="1" outlineLevel="1" x14ac:dyDescent="0.25">
      <c r="A462" s="17">
        <f t="shared" ref="A462:A470" si="158">IF(AND(F462&lt;&gt;"",D462=""),A461+1,A461)</f>
        <v>42</v>
      </c>
      <c r="C462" t="str">
        <f>$F460</f>
        <v>SHC at Rockford Rehab &amp; Wellness Center</v>
      </c>
      <c r="D462" s="3" t="str">
        <f t="shared" si="141"/>
        <v>A_BEDS_TOTAL - Total Available Beds</v>
      </c>
      <c r="F462" s="24" t="str">
        <f>_xll.EVDES(D462)</f>
        <v>Total Available Beds</v>
      </c>
      <c r="G462" s="19">
        <f ca="1">SUMIFS(OFFSET('BPC Data'!$F:$F,0,Summary!G$2),'BPC Data'!$E:$E,Summary!$D462,'BPC Data'!$B:$B,Summary!$C462)</f>
        <v>110</v>
      </c>
      <c r="H462" s="183">
        <f ca="1">SUMIFS(OFFSET('BPC Data'!$F:$F,0,Summary!H$2),'BPC Data'!$E:$E,Summary!$D462,'BPC Data'!$B:$B,Summary!$C462)</f>
        <v>110</v>
      </c>
      <c r="I462" s="19">
        <f ca="1">SUMIFS(OFFSET('BPC Data'!$F:$F,0,Summary!I$2),'BPC Data'!$E:$E,Summary!$D462,'BPC Data'!$B:$B,Summary!$C462)</f>
        <v>110</v>
      </c>
      <c r="J462" s="183">
        <f ca="1">SUMIFS(OFFSET('BPC Data'!$F:$F,0,Summary!J$2),'BPC Data'!$E:$E,Summary!$D462,'BPC Data'!$B:$B,Summary!$C462)</f>
        <v>110</v>
      </c>
      <c r="K462" s="19">
        <f ca="1">SUMIFS(OFFSET('BPC Data'!$F:$F,0,Summary!K$2),'BPC Data'!$E:$E,Summary!$D462,'BPC Data'!$B:$B,Summary!$C462)</f>
        <v>110</v>
      </c>
      <c r="L462" s="183">
        <f ca="1">SUMIFS(OFFSET('BPC Data'!$F:$F,0,Summary!L$2),'BPC Data'!$E:$E,Summary!$D462,'BPC Data'!$B:$B,Summary!$C462)</f>
        <v>110</v>
      </c>
      <c r="M462" s="19">
        <f ca="1">SUMIFS(OFFSET('BPC Data'!$F:$F,0,Summary!M$2),'BPC Data'!$E:$E,Summary!$D462,'BPC Data'!$B:$B,Summary!$C462)</f>
        <v>110</v>
      </c>
      <c r="N462" s="183">
        <f ca="1">SUMIFS(OFFSET('BPC Data'!$F:$F,0,Summary!N$2),'BPC Data'!$E:$E,Summary!$D462,'BPC Data'!$B:$B,Summary!$C462)</f>
        <v>110</v>
      </c>
      <c r="O462" s="19">
        <f ca="1">SUMIFS(OFFSET('BPC Data'!$F:$F,0,Summary!O$2),'BPC Data'!$E:$E,Summary!$D462,'BPC Data'!$B:$B,Summary!$C462)</f>
        <v>110</v>
      </c>
      <c r="P462" s="183">
        <f ca="1">SUMIFS(OFFSET('BPC Data'!$F:$F,0,Summary!P$2),'BPC Data'!$E:$E,Summary!$D462,'BPC Data'!$B:$B,Summary!$C462)</f>
        <v>110</v>
      </c>
      <c r="Q462" s="19">
        <f ca="1">SUMIFS(OFFSET('BPC Data'!$F:$F,0,Summary!Q$2),'BPC Data'!$E:$E,Summary!$D462,'BPC Data'!$B:$B,Summary!$C462)</f>
        <v>110</v>
      </c>
      <c r="R462" s="183">
        <f ca="1">SUMIFS(OFFSET('BPC Data'!$F:$F,0,Summary!R$2),'BPC Data'!$E:$E,Summary!$D462,'BPC Data'!$B:$B,Summary!$C462)</f>
        <v>110</v>
      </c>
      <c r="S462" s="187">
        <f ca="1">R462</f>
        <v>110</v>
      </c>
      <c r="T462" s="181"/>
    </row>
    <row r="463" spans="1:20" s="17" customFormat="1" outlineLevel="1" x14ac:dyDescent="0.25">
      <c r="A463" s="17">
        <f t="shared" si="158"/>
        <v>42</v>
      </c>
      <c r="B463"/>
      <c r="C463" t="str">
        <f>$F460</f>
        <v>SHC at Rockford Rehab &amp; Wellness Center</v>
      </c>
      <c r="D463" s="3" t="str">
        <f t="shared" si="141"/>
        <v>T_REVENUES - Total Tenant Revenues</v>
      </c>
      <c r="E463"/>
      <c r="F463" s="24" t="str">
        <f>_xll.EVDES(D463)</f>
        <v>Total Tenant Revenues</v>
      </c>
      <c r="G463" s="19">
        <f ca="1">SUMIFS(OFFSET('BPC Data'!$F:$F,0,Summary!G$2),'BPC Data'!$E:$E,Summary!$D463,'BPC Data'!$B:$B,Summary!$C463)</f>
        <v>693060</v>
      </c>
      <c r="H463" s="183">
        <f ca="1">SUMIFS(OFFSET('BPC Data'!$F:$F,0,Summary!H$2),'BPC Data'!$E:$E,Summary!$D463,'BPC Data'!$B:$B,Summary!$C463)</f>
        <v>778585</v>
      </c>
      <c r="I463" s="19">
        <f ca="1">SUMIFS(OFFSET('BPC Data'!$F:$F,0,Summary!I$2),'BPC Data'!$E:$E,Summary!$D463,'BPC Data'!$B:$B,Summary!$C463)</f>
        <v>815528</v>
      </c>
      <c r="J463" s="183">
        <f ca="1">SUMIFS(OFFSET('BPC Data'!$F:$F,0,Summary!J$2),'BPC Data'!$E:$E,Summary!$D463,'BPC Data'!$B:$B,Summary!$C463)</f>
        <v>1209382</v>
      </c>
      <c r="K463" s="19">
        <f ca="1">SUMIFS(OFFSET('BPC Data'!$F:$F,0,Summary!K$2),'BPC Data'!$E:$E,Summary!$D463,'BPC Data'!$B:$B,Summary!$C463)</f>
        <v>610813</v>
      </c>
      <c r="L463" s="183">
        <f ca="1">SUMIFS(OFFSET('BPC Data'!$F:$F,0,Summary!L$2),'BPC Data'!$E:$E,Summary!$D463,'BPC Data'!$B:$B,Summary!$C463)</f>
        <v>571245</v>
      </c>
      <c r="M463" s="19">
        <f ca="1">SUMIFS(OFFSET('BPC Data'!$F:$F,0,Summary!M$2),'BPC Data'!$E:$E,Summary!$D463,'BPC Data'!$B:$B,Summary!$C463)</f>
        <v>813519</v>
      </c>
      <c r="N463" s="183">
        <f ca="1">SUMIFS(OFFSET('BPC Data'!$F:$F,0,Summary!N$2),'BPC Data'!$E:$E,Summary!$D463,'BPC Data'!$B:$B,Summary!$C463)</f>
        <v>655066</v>
      </c>
      <c r="O463" s="19">
        <f ca="1">SUMIFS(OFFSET('BPC Data'!$F:$F,0,Summary!O$2),'BPC Data'!$E:$E,Summary!$D463,'BPC Data'!$B:$B,Summary!$C463)</f>
        <v>731425</v>
      </c>
      <c r="P463" s="183">
        <f ca="1">SUMIFS(OFFSET('BPC Data'!$F:$F,0,Summary!P$2),'BPC Data'!$E:$E,Summary!$D463,'BPC Data'!$B:$B,Summary!$C463)</f>
        <v>721871</v>
      </c>
      <c r="Q463" s="19">
        <f ca="1">SUMIFS(OFFSET('BPC Data'!$F:$F,0,Summary!Q$2),'BPC Data'!$E:$E,Summary!$D463,'BPC Data'!$B:$B,Summary!$C463)</f>
        <v>806634</v>
      </c>
      <c r="R463" s="183">
        <f ca="1">SUMIFS(OFFSET('BPC Data'!$F:$F,0,Summary!R$2),'BPC Data'!$E:$E,Summary!$D463,'BPC Data'!$B:$B,Summary!$C463)</f>
        <v>837690</v>
      </c>
      <c r="S463" s="187">
        <f t="shared" ca="1" si="157"/>
        <v>9244818</v>
      </c>
      <c r="T463" s="181"/>
    </row>
    <row r="464" spans="1:20" s="17" customFormat="1" outlineLevel="1" x14ac:dyDescent="0.25">
      <c r="A464" s="17">
        <f t="shared" si="158"/>
        <v>42</v>
      </c>
      <c r="B464"/>
      <c r="C464" t="str">
        <f>$F460</f>
        <v>SHC at Rockford Rehab &amp; Wellness Center</v>
      </c>
      <c r="D464" s="3" t="str">
        <f t="shared" si="141"/>
        <v>T_OPEX - Tenant Operating Expenses</v>
      </c>
      <c r="E464"/>
      <c r="F464" s="24" t="str">
        <f>_xll.EVDES(D464)</f>
        <v>Tenant Operating Expenses</v>
      </c>
      <c r="G464" s="19">
        <f ca="1">SUMIFS(OFFSET('BPC Data'!$F:$F,0,Summary!G$2),'BPC Data'!$E:$E,Summary!$D464,'BPC Data'!$B:$B,Summary!$C464)</f>
        <v>642203</v>
      </c>
      <c r="H464" s="183">
        <f ca="1">SUMIFS(OFFSET('BPC Data'!$F:$F,0,Summary!H$2),'BPC Data'!$E:$E,Summary!$D464,'BPC Data'!$B:$B,Summary!$C464)</f>
        <v>648369</v>
      </c>
      <c r="I464" s="19">
        <f ca="1">SUMIFS(OFFSET('BPC Data'!$F:$F,0,Summary!I$2),'BPC Data'!$E:$E,Summary!$D464,'BPC Data'!$B:$B,Summary!$C464)</f>
        <v>646695</v>
      </c>
      <c r="J464" s="183">
        <f ca="1">SUMIFS(OFFSET('BPC Data'!$F:$F,0,Summary!J$2),'BPC Data'!$E:$E,Summary!$D464,'BPC Data'!$B:$B,Summary!$C464)</f>
        <v>963811</v>
      </c>
      <c r="K464" s="19">
        <f ca="1">SUMIFS(OFFSET('BPC Data'!$F:$F,0,Summary!K$2),'BPC Data'!$E:$E,Summary!$D464,'BPC Data'!$B:$B,Summary!$C464)</f>
        <v>618282</v>
      </c>
      <c r="L464" s="183">
        <f ca="1">SUMIFS(OFFSET('BPC Data'!$F:$F,0,Summary!L$2),'BPC Data'!$E:$E,Summary!$D464,'BPC Data'!$B:$B,Summary!$C464)</f>
        <v>551271</v>
      </c>
      <c r="M464" s="19">
        <f ca="1">SUMIFS(OFFSET('BPC Data'!$F:$F,0,Summary!M$2),'BPC Data'!$E:$E,Summary!$D464,'BPC Data'!$B:$B,Summary!$C464)</f>
        <v>582758</v>
      </c>
      <c r="N464" s="183">
        <f ca="1">SUMIFS(OFFSET('BPC Data'!$F:$F,0,Summary!N$2),'BPC Data'!$E:$E,Summary!$D464,'BPC Data'!$B:$B,Summary!$C464)</f>
        <v>568819</v>
      </c>
      <c r="O464" s="19">
        <f ca="1">SUMIFS(OFFSET('BPC Data'!$F:$F,0,Summary!O$2),'BPC Data'!$E:$E,Summary!$D464,'BPC Data'!$B:$B,Summary!$C464)</f>
        <v>591760</v>
      </c>
      <c r="P464" s="183">
        <f ca="1">SUMIFS(OFFSET('BPC Data'!$F:$F,0,Summary!P$2),'BPC Data'!$E:$E,Summary!$D464,'BPC Data'!$B:$B,Summary!$C464)</f>
        <v>592453</v>
      </c>
      <c r="Q464" s="19">
        <f ca="1">SUMIFS(OFFSET('BPC Data'!$F:$F,0,Summary!Q$2),'BPC Data'!$E:$E,Summary!$D464,'BPC Data'!$B:$B,Summary!$C464)</f>
        <v>604245</v>
      </c>
      <c r="R464" s="183">
        <f ca="1">SUMIFS(OFFSET('BPC Data'!$F:$F,0,Summary!R$2),'BPC Data'!$E:$E,Summary!$D464,'BPC Data'!$B:$B,Summary!$C464)</f>
        <v>594123</v>
      </c>
      <c r="S464" s="187">
        <f t="shared" ca="1" si="157"/>
        <v>7604789</v>
      </c>
      <c r="T464" s="181"/>
    </row>
    <row r="465" spans="1:20" s="17" customFormat="1" outlineLevel="1" x14ac:dyDescent="0.25">
      <c r="A465" s="17">
        <f t="shared" si="158"/>
        <v>42</v>
      </c>
      <c r="B465"/>
      <c r="C465" t="str">
        <f>$F460</f>
        <v>SHC at Rockford Rehab &amp; Wellness Center</v>
      </c>
      <c r="D465" s="3" t="str">
        <f t="shared" si="141"/>
        <v>T_BAD_DEBT - Tenant Bad Debt Expense</v>
      </c>
      <c r="E465"/>
      <c r="F465" s="24" t="str">
        <f>_xll.EVDES(D465)</f>
        <v>Tenant Bad Debt Expense</v>
      </c>
      <c r="G465" s="19">
        <f ca="1">SUMIFS(OFFSET('BPC Data'!$F:$F,0,Summary!G$2),'BPC Data'!$E:$E,Summary!$D465,'BPC Data'!$B:$B,Summary!$C465)</f>
        <v>7500</v>
      </c>
      <c r="H465" s="183">
        <f ca="1">SUMIFS(OFFSET('BPC Data'!$F:$F,0,Summary!H$2),'BPC Data'!$E:$E,Summary!$D465,'BPC Data'!$B:$B,Summary!$C465)</f>
        <v>5000</v>
      </c>
      <c r="I465" s="19">
        <f ca="1">SUMIFS(OFFSET('BPC Data'!$F:$F,0,Summary!I$2),'BPC Data'!$E:$E,Summary!$D465,'BPC Data'!$B:$B,Summary!$C465)</f>
        <v>0</v>
      </c>
      <c r="J465" s="183">
        <f ca="1">SUMIFS(OFFSET('BPC Data'!$F:$F,0,Summary!J$2),'BPC Data'!$E:$E,Summary!$D465,'BPC Data'!$B:$B,Summary!$C465)</f>
        <v>21</v>
      </c>
      <c r="K465" s="19">
        <f ca="1">SUMIFS(OFFSET('BPC Data'!$F:$F,0,Summary!K$2),'BPC Data'!$E:$E,Summary!$D465,'BPC Data'!$B:$B,Summary!$C465)</f>
        <v>5000</v>
      </c>
      <c r="L465" s="183">
        <f ca="1">SUMIFS(OFFSET('BPC Data'!$F:$F,0,Summary!L$2),'BPC Data'!$E:$E,Summary!$D465,'BPC Data'!$B:$B,Summary!$C465)</f>
        <v>0</v>
      </c>
      <c r="M465" s="19">
        <f ca="1">SUMIFS(OFFSET('BPC Data'!$F:$F,0,Summary!M$2),'BPC Data'!$E:$E,Summary!$D465,'BPC Data'!$B:$B,Summary!$C465)</f>
        <v>0</v>
      </c>
      <c r="N465" s="183">
        <f ca="1">SUMIFS(OFFSET('BPC Data'!$F:$F,0,Summary!N$2),'BPC Data'!$E:$E,Summary!$D465,'BPC Data'!$B:$B,Summary!$C465)</f>
        <v>0</v>
      </c>
      <c r="O465" s="19">
        <f ca="1">SUMIFS(OFFSET('BPC Data'!$F:$F,0,Summary!O$2),'BPC Data'!$E:$E,Summary!$D465,'BPC Data'!$B:$B,Summary!$C465)</f>
        <v>0</v>
      </c>
      <c r="P465" s="183">
        <f ca="1">SUMIFS(OFFSET('BPC Data'!$F:$F,0,Summary!P$2),'BPC Data'!$E:$E,Summary!$D465,'BPC Data'!$B:$B,Summary!$C465)</f>
        <v>0</v>
      </c>
      <c r="Q465" s="19">
        <f ca="1">SUMIFS(OFFSET('BPC Data'!$F:$F,0,Summary!Q$2),'BPC Data'!$E:$E,Summary!$D465,'BPC Data'!$B:$B,Summary!$C465)</f>
        <v>0</v>
      </c>
      <c r="R465" s="183">
        <f ca="1">SUMIFS(OFFSET('BPC Data'!$F:$F,0,Summary!R$2),'BPC Data'!$E:$E,Summary!$D465,'BPC Data'!$B:$B,Summary!$C465)</f>
        <v>0</v>
      </c>
      <c r="S465" s="187">
        <f t="shared" ca="1" si="157"/>
        <v>17521</v>
      </c>
      <c r="T465" s="181"/>
    </row>
    <row r="466" spans="1:20" s="17" customFormat="1" outlineLevel="1" x14ac:dyDescent="0.25">
      <c r="A466" s="17">
        <f t="shared" si="158"/>
        <v>42</v>
      </c>
      <c r="B466"/>
      <c r="C466" t="str">
        <f>$F460</f>
        <v>SHC at Rockford Rehab &amp; Wellness Center</v>
      </c>
      <c r="D466" s="2" t="str">
        <f t="shared" si="141"/>
        <v>T_EBITDARM - EBITDARM</v>
      </c>
      <c r="E466"/>
      <c r="F466" s="24" t="str">
        <f>_xll.EVDES(D466)</f>
        <v>EBITDARM</v>
      </c>
      <c r="G466" s="19">
        <f ca="1">SUMIFS(OFFSET('BPC Data'!$F:$F,0,Summary!G$2),'BPC Data'!$E:$E,Summary!$D466,'BPC Data'!$B:$B,Summary!$C466)</f>
        <v>50857</v>
      </c>
      <c r="H466" s="183">
        <f ca="1">SUMIFS(OFFSET('BPC Data'!$F:$F,0,Summary!H$2),'BPC Data'!$E:$E,Summary!$D466,'BPC Data'!$B:$B,Summary!$C466)</f>
        <v>130216</v>
      </c>
      <c r="I466" s="19">
        <f ca="1">SUMIFS(OFFSET('BPC Data'!$F:$F,0,Summary!I$2),'BPC Data'!$E:$E,Summary!$D466,'BPC Data'!$B:$B,Summary!$C466)</f>
        <v>168833</v>
      </c>
      <c r="J466" s="183">
        <f ca="1">SUMIFS(OFFSET('BPC Data'!$F:$F,0,Summary!J$2),'BPC Data'!$E:$E,Summary!$D466,'BPC Data'!$B:$B,Summary!$C466)</f>
        <v>245571</v>
      </c>
      <c r="K466" s="19">
        <f ca="1">SUMIFS(OFFSET('BPC Data'!$F:$F,0,Summary!K$2),'BPC Data'!$E:$E,Summary!$D466,'BPC Data'!$B:$B,Summary!$C466)</f>
        <v>-7469</v>
      </c>
      <c r="L466" s="183">
        <f ca="1">SUMIFS(OFFSET('BPC Data'!$F:$F,0,Summary!L$2),'BPC Data'!$E:$E,Summary!$D466,'BPC Data'!$B:$B,Summary!$C466)</f>
        <v>19974</v>
      </c>
      <c r="M466" s="19">
        <f ca="1">SUMIFS(OFFSET('BPC Data'!$F:$F,0,Summary!M$2),'BPC Data'!$E:$E,Summary!$D466,'BPC Data'!$B:$B,Summary!$C466)</f>
        <v>230761</v>
      </c>
      <c r="N466" s="183">
        <f ca="1">SUMIFS(OFFSET('BPC Data'!$F:$F,0,Summary!N$2),'BPC Data'!$E:$E,Summary!$D466,'BPC Data'!$B:$B,Summary!$C466)</f>
        <v>86247</v>
      </c>
      <c r="O466" s="19">
        <f ca="1">SUMIFS(OFFSET('BPC Data'!$F:$F,0,Summary!O$2),'BPC Data'!$E:$E,Summary!$D466,'BPC Data'!$B:$B,Summary!$C466)</f>
        <v>139665</v>
      </c>
      <c r="P466" s="183">
        <f ca="1">SUMIFS(OFFSET('BPC Data'!$F:$F,0,Summary!P$2),'BPC Data'!$E:$E,Summary!$D466,'BPC Data'!$B:$B,Summary!$C466)</f>
        <v>129418</v>
      </c>
      <c r="Q466" s="19">
        <f ca="1">SUMIFS(OFFSET('BPC Data'!$F:$F,0,Summary!Q$2),'BPC Data'!$E:$E,Summary!$D466,'BPC Data'!$B:$B,Summary!$C466)</f>
        <v>202389</v>
      </c>
      <c r="R466" s="183">
        <f ca="1">SUMIFS(OFFSET('BPC Data'!$F:$F,0,Summary!R$2),'BPC Data'!$E:$E,Summary!$D466,'BPC Data'!$B:$B,Summary!$C466)</f>
        <v>243567</v>
      </c>
      <c r="S466" s="187">
        <f t="shared" ca="1" si="157"/>
        <v>1640029</v>
      </c>
      <c r="T466" s="181"/>
    </row>
    <row r="467" spans="1:20" s="17" customFormat="1" outlineLevel="1" x14ac:dyDescent="0.25">
      <c r="A467" s="17">
        <f t="shared" si="158"/>
        <v>42</v>
      </c>
      <c r="B467"/>
      <c r="C467" t="str">
        <f>$F460</f>
        <v>SHC at Rockford Rehab &amp; Wellness Center</v>
      </c>
      <c r="D467" s="2" t="str">
        <f t="shared" si="141"/>
        <v>T_MGMT_FEE - Tenant Management Fee - Actual</v>
      </c>
      <c r="E467"/>
      <c r="F467" s="24" t="str">
        <f>_xll.EVDES(D467)</f>
        <v>Tenant Management Fee - Actual</v>
      </c>
      <c r="G467" s="19">
        <f ca="1">SUMIFS(OFFSET('BPC Data'!$F:$F,0,Summary!G$2),'BPC Data'!$E:$E,Summary!$D467,'BPC Data'!$B:$B,Summary!$C467)</f>
        <v>34909</v>
      </c>
      <c r="H467" s="183">
        <f ca="1">SUMIFS(OFFSET('BPC Data'!$F:$F,0,Summary!H$2),'BPC Data'!$E:$E,Summary!$D467,'BPC Data'!$B:$B,Summary!$C467)</f>
        <v>39319</v>
      </c>
      <c r="I467" s="19">
        <f ca="1">SUMIFS(OFFSET('BPC Data'!$F:$F,0,Summary!I$2),'BPC Data'!$E:$E,Summary!$D467,'BPC Data'!$B:$B,Summary!$C467)</f>
        <v>41184</v>
      </c>
      <c r="J467" s="183">
        <f ca="1">SUMIFS(OFFSET('BPC Data'!$F:$F,0,Summary!J$2),'BPC Data'!$E:$E,Summary!$D467,'BPC Data'!$B:$B,Summary!$C467)</f>
        <v>58506</v>
      </c>
      <c r="K467" s="19">
        <f ca="1">SUMIFS(OFFSET('BPC Data'!$F:$F,0,Summary!K$2),'BPC Data'!$E:$E,Summary!$D467,'BPC Data'!$B:$B,Summary!$C467)</f>
        <v>30925</v>
      </c>
      <c r="L467" s="183">
        <f ca="1">SUMIFS(OFFSET('BPC Data'!$F:$F,0,Summary!L$2),'BPC Data'!$E:$E,Summary!$D467,'BPC Data'!$B:$B,Summary!$C467)</f>
        <v>28848</v>
      </c>
      <c r="M467" s="19">
        <f ca="1">SUMIFS(OFFSET('BPC Data'!$F:$F,0,Summary!M$2),'BPC Data'!$E:$E,Summary!$D467,'BPC Data'!$B:$B,Summary!$C467)</f>
        <v>41083</v>
      </c>
      <c r="N467" s="183">
        <f ca="1">SUMIFS(OFFSET('BPC Data'!$F:$F,0,Summary!N$2),'BPC Data'!$E:$E,Summary!$D467,'BPC Data'!$B:$B,Summary!$C467)</f>
        <v>33081</v>
      </c>
      <c r="O467" s="19">
        <f ca="1">SUMIFS(OFFSET('BPC Data'!$F:$F,0,Summary!O$2),'BPC Data'!$E:$E,Summary!$D467,'BPC Data'!$B:$B,Summary!$C467)</f>
        <v>36937</v>
      </c>
      <c r="P467" s="183">
        <f ca="1">SUMIFS(OFFSET('BPC Data'!$F:$F,0,Summary!P$2),'BPC Data'!$E:$E,Summary!$D467,'BPC Data'!$B:$B,Summary!$C467)</f>
        <v>36454</v>
      </c>
      <c r="Q467" s="19">
        <f ca="1">SUMIFS(OFFSET('BPC Data'!$F:$F,0,Summary!Q$2),'BPC Data'!$E:$E,Summary!$D467,'BPC Data'!$B:$B,Summary!$C467)</f>
        <v>40735</v>
      </c>
      <c r="R467" s="183">
        <f ca="1">SUMIFS(OFFSET('BPC Data'!$F:$F,0,Summary!R$2),'BPC Data'!$E:$E,Summary!$D467,'BPC Data'!$B:$B,Summary!$C467)</f>
        <v>42303</v>
      </c>
      <c r="S467" s="187">
        <f t="shared" ca="1" si="157"/>
        <v>464284</v>
      </c>
      <c r="T467" s="181"/>
    </row>
    <row r="468" spans="1:20" s="17" customFormat="1" outlineLevel="1" x14ac:dyDescent="0.25">
      <c r="A468" s="17">
        <f t="shared" si="158"/>
        <v>42</v>
      </c>
      <c r="B468"/>
      <c r="C468" t="str">
        <f>$F460</f>
        <v>SHC at Rockford Rehab &amp; Wellness Center</v>
      </c>
      <c r="D468" s="1" t="str">
        <f t="shared" si="141"/>
        <v>T_EBITDAR - EBITDAR</v>
      </c>
      <c r="E468"/>
      <c r="F468" s="24" t="str">
        <f>_xll.EVDES(D468)</f>
        <v>EBITDAR</v>
      </c>
      <c r="G468" s="19">
        <f ca="1">SUMIFS(OFFSET('BPC Data'!$F:$F,0,Summary!G$2),'BPC Data'!$E:$E,Summary!$D468,'BPC Data'!$B:$B,Summary!$C468)</f>
        <v>15948</v>
      </c>
      <c r="H468" s="183">
        <f ca="1">SUMIFS(OFFSET('BPC Data'!$F:$F,0,Summary!H$2),'BPC Data'!$E:$E,Summary!$D468,'BPC Data'!$B:$B,Summary!$C468)</f>
        <v>90897</v>
      </c>
      <c r="I468" s="19">
        <f ca="1">SUMIFS(OFFSET('BPC Data'!$F:$F,0,Summary!I$2),'BPC Data'!$E:$E,Summary!$D468,'BPC Data'!$B:$B,Summary!$C468)</f>
        <v>127649</v>
      </c>
      <c r="J468" s="183">
        <f ca="1">SUMIFS(OFFSET('BPC Data'!$F:$F,0,Summary!J$2),'BPC Data'!$E:$E,Summary!$D468,'BPC Data'!$B:$B,Summary!$C468)</f>
        <v>187065</v>
      </c>
      <c r="K468" s="19">
        <f ca="1">SUMIFS(OFFSET('BPC Data'!$F:$F,0,Summary!K$2),'BPC Data'!$E:$E,Summary!$D468,'BPC Data'!$B:$B,Summary!$C468)</f>
        <v>-38394</v>
      </c>
      <c r="L468" s="183">
        <f ca="1">SUMIFS(OFFSET('BPC Data'!$F:$F,0,Summary!L$2),'BPC Data'!$E:$E,Summary!$D468,'BPC Data'!$B:$B,Summary!$C468)</f>
        <v>-8874</v>
      </c>
      <c r="M468" s="19">
        <f ca="1">SUMIFS(OFFSET('BPC Data'!$F:$F,0,Summary!M$2),'BPC Data'!$E:$E,Summary!$D468,'BPC Data'!$B:$B,Summary!$C468)</f>
        <v>189678</v>
      </c>
      <c r="N468" s="183">
        <f ca="1">SUMIFS(OFFSET('BPC Data'!$F:$F,0,Summary!N$2),'BPC Data'!$E:$E,Summary!$D468,'BPC Data'!$B:$B,Summary!$C468)</f>
        <v>53166</v>
      </c>
      <c r="O468" s="19">
        <f ca="1">SUMIFS(OFFSET('BPC Data'!$F:$F,0,Summary!O$2),'BPC Data'!$E:$E,Summary!$D468,'BPC Data'!$B:$B,Summary!$C468)</f>
        <v>102728</v>
      </c>
      <c r="P468" s="183">
        <f ca="1">SUMIFS(OFFSET('BPC Data'!$F:$F,0,Summary!P$2),'BPC Data'!$E:$E,Summary!$D468,'BPC Data'!$B:$B,Summary!$C468)</f>
        <v>92964</v>
      </c>
      <c r="Q468" s="19">
        <f ca="1">SUMIFS(OFFSET('BPC Data'!$F:$F,0,Summary!Q$2),'BPC Data'!$E:$E,Summary!$D468,'BPC Data'!$B:$B,Summary!$C468)</f>
        <v>161654</v>
      </c>
      <c r="R468" s="183">
        <f ca="1">SUMIFS(OFFSET('BPC Data'!$F:$F,0,Summary!R$2),'BPC Data'!$E:$E,Summary!$D468,'BPC Data'!$B:$B,Summary!$C468)</f>
        <v>201264</v>
      </c>
      <c r="S468" s="187">
        <f t="shared" ca="1" si="157"/>
        <v>1175745</v>
      </c>
      <c r="T468" s="181"/>
    </row>
    <row r="469" spans="1:20" s="17" customFormat="1" outlineLevel="1" x14ac:dyDescent="0.25">
      <c r="A469" s="17">
        <f t="shared" si="158"/>
        <v>42</v>
      </c>
      <c r="B469"/>
      <c r="C469" t="str">
        <f>$F460</f>
        <v>SHC at Rockford Rehab &amp; Wellness Center</v>
      </c>
      <c r="D469" s="1" t="str">
        <f t="shared" si="141"/>
        <v>T_RENT_EXP - Tenant Rent Expense</v>
      </c>
      <c r="E469"/>
      <c r="F469" s="24" t="str">
        <f>_xll.EVDES(D469)</f>
        <v>Tenant Rent Expense</v>
      </c>
      <c r="G469" s="19">
        <f ca="1">SUMIFS(OFFSET('BPC Data'!$F:$F,0,Summary!G$2),'BPC Data'!$E:$E,Summary!$D469,'BPC Data'!$B:$B,Summary!$C469)</f>
        <v>3549</v>
      </c>
      <c r="H469" s="183">
        <f ca="1">SUMIFS(OFFSET('BPC Data'!$F:$F,0,Summary!H$2),'BPC Data'!$E:$E,Summary!$D469,'BPC Data'!$B:$B,Summary!$C469)</f>
        <v>3549</v>
      </c>
      <c r="I469" s="19">
        <f ca="1">SUMIFS(OFFSET('BPC Data'!$F:$F,0,Summary!I$2),'BPC Data'!$E:$E,Summary!$D469,'BPC Data'!$B:$B,Summary!$C469)</f>
        <v>3549</v>
      </c>
      <c r="J469" s="183">
        <f ca="1">SUMIFS(OFFSET('BPC Data'!$F:$F,0,Summary!J$2),'BPC Data'!$E:$E,Summary!$D469,'BPC Data'!$B:$B,Summary!$C469)</f>
        <v>3638</v>
      </c>
      <c r="K469" s="19">
        <f ca="1">SUMIFS(OFFSET('BPC Data'!$F:$F,0,Summary!K$2),'BPC Data'!$E:$E,Summary!$D469,'BPC Data'!$B:$B,Summary!$C469)</f>
        <v>3638</v>
      </c>
      <c r="L469" s="183">
        <f ca="1">SUMIFS(OFFSET('BPC Data'!$F:$F,0,Summary!L$2),'BPC Data'!$E:$E,Summary!$D469,'BPC Data'!$B:$B,Summary!$C469)</f>
        <v>3638</v>
      </c>
      <c r="M469" s="19">
        <f ca="1">SUMIFS(OFFSET('BPC Data'!$F:$F,0,Summary!M$2),'BPC Data'!$E:$E,Summary!$D469,'BPC Data'!$B:$B,Summary!$C469)</f>
        <v>3638</v>
      </c>
      <c r="N469" s="183">
        <f ca="1">SUMIFS(OFFSET('BPC Data'!$F:$F,0,Summary!N$2),'BPC Data'!$E:$E,Summary!$D469,'BPC Data'!$B:$B,Summary!$C469)</f>
        <v>3638</v>
      </c>
      <c r="O469" s="19">
        <f ca="1">SUMIFS(OFFSET('BPC Data'!$F:$F,0,Summary!O$2),'BPC Data'!$E:$E,Summary!$D469,'BPC Data'!$B:$B,Summary!$C469)</f>
        <v>3638</v>
      </c>
      <c r="P469" s="183">
        <f ca="1">SUMIFS(OFFSET('BPC Data'!$F:$F,0,Summary!P$2),'BPC Data'!$E:$E,Summary!$D469,'BPC Data'!$B:$B,Summary!$C469)</f>
        <v>3638</v>
      </c>
      <c r="Q469" s="19">
        <f ca="1">SUMIFS(OFFSET('BPC Data'!$F:$F,0,Summary!Q$2),'BPC Data'!$E:$E,Summary!$D469,'BPC Data'!$B:$B,Summary!$C469)</f>
        <v>3638</v>
      </c>
      <c r="R469" s="183">
        <f ca="1">SUMIFS(OFFSET('BPC Data'!$F:$F,0,Summary!R$2),'BPC Data'!$E:$E,Summary!$D469,'BPC Data'!$B:$B,Summary!$C469)</f>
        <v>3638</v>
      </c>
      <c r="S469" s="187">
        <f t="shared" ca="1" si="157"/>
        <v>43389</v>
      </c>
      <c r="T469" s="181"/>
    </row>
    <row r="470" spans="1:20" s="17" customFormat="1" outlineLevel="1" x14ac:dyDescent="0.25">
      <c r="A470" s="17">
        <f t="shared" si="158"/>
        <v>42</v>
      </c>
      <c r="B470"/>
      <c r="C470"/>
      <c r="D470" s="1" t="str">
        <f t="shared" ref="D470:D533" si="159">$D459</f>
        <v>x</v>
      </c>
      <c r="E470"/>
      <c r="F470" s="24" t="s">
        <v>0</v>
      </c>
      <c r="G470" s="12">
        <f ca="1">G468/G469</f>
        <v>4.4936601859678786</v>
      </c>
      <c r="H470" s="184">
        <f t="shared" ref="H470:I470" ca="1" si="160">H468/H469</f>
        <v>25.61200338123415</v>
      </c>
      <c r="I470" s="12">
        <f t="shared" ca="1" si="160"/>
        <v>35.967596506058044</v>
      </c>
      <c r="J470" s="184">
        <f t="shared" ref="J470:R470" ca="1" si="161">J468/J469</f>
        <v>51.419736118746563</v>
      </c>
      <c r="K470" s="12">
        <f t="shared" ca="1" si="161"/>
        <v>-10.553600879604177</v>
      </c>
      <c r="L470" s="184">
        <f t="shared" ca="1" si="161"/>
        <v>-2.4392523364485981</v>
      </c>
      <c r="M470" s="12">
        <f t="shared" ca="1" si="161"/>
        <v>52.13798790544255</v>
      </c>
      <c r="N470" s="184">
        <f t="shared" ca="1" si="161"/>
        <v>14.614073666849917</v>
      </c>
      <c r="O470" s="12">
        <f t="shared" ca="1" si="161"/>
        <v>28.237493128092357</v>
      </c>
      <c r="P470" s="184">
        <f t="shared" ca="1" si="161"/>
        <v>25.553600879604179</v>
      </c>
      <c r="Q470" s="12">
        <f t="shared" ca="1" si="161"/>
        <v>44.434854315557999</v>
      </c>
      <c r="R470" s="184">
        <f t="shared" ca="1" si="161"/>
        <v>55.322704782847715</v>
      </c>
      <c r="S470" s="187">
        <f t="shared" ca="1" si="157"/>
        <v>324.80085765434859</v>
      </c>
      <c r="T470" s="181"/>
    </row>
    <row r="471" spans="1:20" s="17" customFormat="1" outlineLevel="1" x14ac:dyDescent="0.25">
      <c r="A471" s="17">
        <f>IF(AND(D471&lt;&gt;"",C471=""),A470+1,A470)</f>
        <v>43</v>
      </c>
      <c r="B471" s="5"/>
      <c r="C471" s="5"/>
      <c r="D471" s="5" t="str">
        <f t="shared" si="159"/>
        <v>x</v>
      </c>
      <c r="E471" s="5"/>
      <c r="F471" s="23" t="str">
        <f>INDEX(PropertyList!$D:$D,MATCH(Summary!$A471,PropertyList!$C:$C,0))</f>
        <v>SHC at Summerfield Rehab &amp; Wellness Center</v>
      </c>
      <c r="G471" s="11"/>
      <c r="H471" s="182"/>
      <c r="I471" s="11"/>
      <c r="J471" s="182"/>
      <c r="K471" s="11"/>
      <c r="L471" s="182"/>
      <c r="M471" s="11"/>
      <c r="N471" s="182"/>
      <c r="O471" s="11"/>
      <c r="P471" s="182"/>
      <c r="Q471" s="11"/>
      <c r="R471" s="182"/>
      <c r="S471" s="187">
        <f t="shared" si="157"/>
        <v>0</v>
      </c>
      <c r="T471" s="181"/>
    </row>
    <row r="472" spans="1:20" s="17" customFormat="1" outlineLevel="1" x14ac:dyDescent="0.25">
      <c r="A472" s="17">
        <f>IF(AND(F472&lt;&gt;"",D472=""),A471+1,A471)</f>
        <v>43</v>
      </c>
      <c r="C472" t="str">
        <f>$F471</f>
        <v>SHC at Summerfield Rehab &amp; Wellness Center</v>
      </c>
      <c r="D472" s="3" t="str">
        <f t="shared" si="159"/>
        <v>PAY_PAT_DAYS - Total Payor Patient Days</v>
      </c>
      <c r="F472" s="24" t="str">
        <f>_xll.EVDES(D472)</f>
        <v>Total Payor Patient Days</v>
      </c>
      <c r="G472" s="19">
        <f ca="1">SUMIFS(OFFSET('BPC Data'!$F:$F,0,Summary!G$2),'BPC Data'!$E:$E,Summary!$D472,'BPC Data'!$B:$B,Summary!$C472)</f>
        <v>2975</v>
      </c>
      <c r="H472" s="183">
        <f ca="1">SUMIFS(OFFSET('BPC Data'!$F:$F,0,Summary!H$2),'BPC Data'!$E:$E,Summary!$D472,'BPC Data'!$B:$B,Summary!$C472)</f>
        <v>3270</v>
      </c>
      <c r="I472" s="19">
        <f ca="1">SUMIFS(OFFSET('BPC Data'!$F:$F,0,Summary!I$2),'BPC Data'!$E:$E,Summary!$D472,'BPC Data'!$B:$B,Summary!$C472)</f>
        <v>3373</v>
      </c>
      <c r="J472" s="183">
        <f ca="1">SUMIFS(OFFSET('BPC Data'!$F:$F,0,Summary!J$2),'BPC Data'!$E:$E,Summary!$D472,'BPC Data'!$B:$B,Summary!$C472)</f>
        <v>3250</v>
      </c>
      <c r="K472" s="19">
        <f ca="1">SUMIFS(OFFSET('BPC Data'!$F:$F,0,Summary!K$2),'BPC Data'!$E:$E,Summary!$D472,'BPC Data'!$B:$B,Summary!$C472)</f>
        <v>3142</v>
      </c>
      <c r="L472" s="183">
        <f ca="1">SUMIFS(OFFSET('BPC Data'!$F:$F,0,Summary!L$2),'BPC Data'!$E:$E,Summary!$D472,'BPC Data'!$B:$B,Summary!$C472)</f>
        <v>2819</v>
      </c>
      <c r="M472" s="19">
        <f ca="1">SUMIFS(OFFSET('BPC Data'!$F:$F,0,Summary!M$2),'BPC Data'!$E:$E,Summary!$D472,'BPC Data'!$B:$B,Summary!$C472)</f>
        <v>2968</v>
      </c>
      <c r="N472" s="183">
        <f ca="1">SUMIFS(OFFSET('BPC Data'!$F:$F,0,Summary!N$2),'BPC Data'!$E:$E,Summary!$D472,'BPC Data'!$B:$B,Summary!$C472)</f>
        <v>2739</v>
      </c>
      <c r="O472" s="19">
        <f ca="1">SUMIFS(OFFSET('BPC Data'!$F:$F,0,Summary!O$2),'BPC Data'!$E:$E,Summary!$D472,'BPC Data'!$B:$B,Summary!$C472)</f>
        <v>2749</v>
      </c>
      <c r="P472" s="183">
        <f ca="1">SUMIFS(OFFSET('BPC Data'!$F:$F,0,Summary!P$2),'BPC Data'!$E:$E,Summary!$D472,'BPC Data'!$B:$B,Summary!$C472)</f>
        <v>2738</v>
      </c>
      <c r="Q472" s="19">
        <f ca="1">SUMIFS(OFFSET('BPC Data'!$F:$F,0,Summary!Q$2),'BPC Data'!$E:$E,Summary!$D472,'BPC Data'!$B:$B,Summary!$C472)</f>
        <v>2909</v>
      </c>
      <c r="R472" s="183">
        <f ca="1">SUMIFS(OFFSET('BPC Data'!$F:$F,0,Summary!R$2),'BPC Data'!$E:$E,Summary!$D472,'BPC Data'!$B:$B,Summary!$C472)</f>
        <v>2771</v>
      </c>
      <c r="S472" s="187">
        <f t="shared" ca="1" si="157"/>
        <v>35703</v>
      </c>
      <c r="T472" s="181"/>
    </row>
    <row r="473" spans="1:20" s="17" customFormat="1" outlineLevel="1" x14ac:dyDescent="0.25">
      <c r="A473" s="17">
        <f t="shared" ref="A473:A481" si="162">IF(AND(F473&lt;&gt;"",D473=""),A472+1,A472)</f>
        <v>43</v>
      </c>
      <c r="C473" t="str">
        <f>$F471</f>
        <v>SHC at Summerfield Rehab &amp; Wellness Center</v>
      </c>
      <c r="D473" s="3" t="str">
        <f t="shared" si="159"/>
        <v>A_BEDS_TOTAL - Total Available Beds</v>
      </c>
      <c r="F473" s="24" t="str">
        <f>_xll.EVDES(D473)</f>
        <v>Total Available Beds</v>
      </c>
      <c r="G473" s="19">
        <f ca="1">SUMIFS(OFFSET('BPC Data'!$F:$F,0,Summary!G$2),'BPC Data'!$E:$E,Summary!$D473,'BPC Data'!$B:$B,Summary!$C473)</f>
        <v>161</v>
      </c>
      <c r="H473" s="183">
        <f ca="1">SUMIFS(OFFSET('BPC Data'!$F:$F,0,Summary!H$2),'BPC Data'!$E:$E,Summary!$D473,'BPC Data'!$B:$B,Summary!$C473)</f>
        <v>161</v>
      </c>
      <c r="I473" s="19">
        <f ca="1">SUMIFS(OFFSET('BPC Data'!$F:$F,0,Summary!I$2),'BPC Data'!$E:$E,Summary!$D473,'BPC Data'!$B:$B,Summary!$C473)</f>
        <v>161</v>
      </c>
      <c r="J473" s="183">
        <f ca="1">SUMIFS(OFFSET('BPC Data'!$F:$F,0,Summary!J$2),'BPC Data'!$E:$E,Summary!$D473,'BPC Data'!$B:$B,Summary!$C473)</f>
        <v>161</v>
      </c>
      <c r="K473" s="19">
        <f ca="1">SUMIFS(OFFSET('BPC Data'!$F:$F,0,Summary!K$2),'BPC Data'!$E:$E,Summary!$D473,'BPC Data'!$B:$B,Summary!$C473)</f>
        <v>161</v>
      </c>
      <c r="L473" s="183">
        <f ca="1">SUMIFS(OFFSET('BPC Data'!$F:$F,0,Summary!L$2),'BPC Data'!$E:$E,Summary!$D473,'BPC Data'!$B:$B,Summary!$C473)</f>
        <v>161</v>
      </c>
      <c r="M473" s="19">
        <f ca="1">SUMIFS(OFFSET('BPC Data'!$F:$F,0,Summary!M$2),'BPC Data'!$E:$E,Summary!$D473,'BPC Data'!$B:$B,Summary!$C473)</f>
        <v>161</v>
      </c>
      <c r="N473" s="183">
        <f ca="1">SUMIFS(OFFSET('BPC Data'!$F:$F,0,Summary!N$2),'BPC Data'!$E:$E,Summary!$D473,'BPC Data'!$B:$B,Summary!$C473)</f>
        <v>161</v>
      </c>
      <c r="O473" s="19">
        <f ca="1">SUMIFS(OFFSET('BPC Data'!$F:$F,0,Summary!O$2),'BPC Data'!$E:$E,Summary!$D473,'BPC Data'!$B:$B,Summary!$C473)</f>
        <v>161</v>
      </c>
      <c r="P473" s="183">
        <f ca="1">SUMIFS(OFFSET('BPC Data'!$F:$F,0,Summary!P$2),'BPC Data'!$E:$E,Summary!$D473,'BPC Data'!$B:$B,Summary!$C473)</f>
        <v>161</v>
      </c>
      <c r="Q473" s="19">
        <f ca="1">SUMIFS(OFFSET('BPC Data'!$F:$F,0,Summary!Q$2),'BPC Data'!$E:$E,Summary!$D473,'BPC Data'!$B:$B,Summary!$C473)</f>
        <v>161</v>
      </c>
      <c r="R473" s="183">
        <f ca="1">SUMIFS(OFFSET('BPC Data'!$F:$F,0,Summary!R$2),'BPC Data'!$E:$E,Summary!$D473,'BPC Data'!$B:$B,Summary!$C473)</f>
        <v>161</v>
      </c>
      <c r="S473" s="187">
        <f ca="1">R473</f>
        <v>161</v>
      </c>
      <c r="T473" s="181"/>
    </row>
    <row r="474" spans="1:20" s="17" customFormat="1" outlineLevel="1" x14ac:dyDescent="0.25">
      <c r="A474" s="17">
        <f t="shared" si="162"/>
        <v>43</v>
      </c>
      <c r="B474"/>
      <c r="C474" t="str">
        <f>$F471</f>
        <v>SHC at Summerfield Rehab &amp; Wellness Center</v>
      </c>
      <c r="D474" s="3" t="str">
        <f t="shared" si="159"/>
        <v>T_REVENUES - Total Tenant Revenues</v>
      </c>
      <c r="E474"/>
      <c r="F474" s="24" t="str">
        <f>_xll.EVDES(D474)</f>
        <v>Total Tenant Revenues</v>
      </c>
      <c r="G474" s="19">
        <f ca="1">SUMIFS(OFFSET('BPC Data'!$F:$F,0,Summary!G$2),'BPC Data'!$E:$E,Summary!$D474,'BPC Data'!$B:$B,Summary!$C474)</f>
        <v>1048309</v>
      </c>
      <c r="H474" s="183">
        <f ca="1">SUMIFS(OFFSET('BPC Data'!$F:$F,0,Summary!H$2),'BPC Data'!$E:$E,Summary!$D474,'BPC Data'!$B:$B,Summary!$C474)</f>
        <v>1042085</v>
      </c>
      <c r="I474" s="19">
        <f ca="1">SUMIFS(OFFSET('BPC Data'!$F:$F,0,Summary!I$2),'BPC Data'!$E:$E,Summary!$D474,'BPC Data'!$B:$B,Summary!$C474)</f>
        <v>1161121</v>
      </c>
      <c r="J474" s="183">
        <f ca="1">SUMIFS(OFFSET('BPC Data'!$F:$F,0,Summary!J$2),'BPC Data'!$E:$E,Summary!$D474,'BPC Data'!$B:$B,Summary!$C474)</f>
        <v>1301422</v>
      </c>
      <c r="K474" s="19">
        <f ca="1">SUMIFS(OFFSET('BPC Data'!$F:$F,0,Summary!K$2),'BPC Data'!$E:$E,Summary!$D474,'BPC Data'!$B:$B,Summary!$C474)</f>
        <v>931939</v>
      </c>
      <c r="L474" s="183">
        <f ca="1">SUMIFS(OFFSET('BPC Data'!$F:$F,0,Summary!L$2),'BPC Data'!$E:$E,Summary!$D474,'BPC Data'!$B:$B,Summary!$C474)</f>
        <v>848637</v>
      </c>
      <c r="M474" s="19">
        <f ca="1">SUMIFS(OFFSET('BPC Data'!$F:$F,0,Summary!M$2),'BPC Data'!$E:$E,Summary!$D474,'BPC Data'!$B:$B,Summary!$C474)</f>
        <v>1017632</v>
      </c>
      <c r="N474" s="183">
        <f ca="1">SUMIFS(OFFSET('BPC Data'!$F:$F,0,Summary!N$2),'BPC Data'!$E:$E,Summary!$D474,'BPC Data'!$B:$B,Summary!$C474)</f>
        <v>765222</v>
      </c>
      <c r="O474" s="19">
        <f ca="1">SUMIFS(OFFSET('BPC Data'!$F:$F,0,Summary!O$2),'BPC Data'!$E:$E,Summary!$D474,'BPC Data'!$B:$B,Summary!$C474)</f>
        <v>796904</v>
      </c>
      <c r="P474" s="183">
        <f ca="1">SUMIFS(OFFSET('BPC Data'!$F:$F,0,Summary!P$2),'BPC Data'!$E:$E,Summary!$D474,'BPC Data'!$B:$B,Summary!$C474)</f>
        <v>802947</v>
      </c>
      <c r="Q474" s="19">
        <f ca="1">SUMIFS(OFFSET('BPC Data'!$F:$F,0,Summary!Q$2),'BPC Data'!$E:$E,Summary!$D474,'BPC Data'!$B:$B,Summary!$C474)</f>
        <v>867418</v>
      </c>
      <c r="R474" s="183">
        <f ca="1">SUMIFS(OFFSET('BPC Data'!$F:$F,0,Summary!R$2),'BPC Data'!$E:$E,Summary!$D474,'BPC Data'!$B:$B,Summary!$C474)</f>
        <v>794856</v>
      </c>
      <c r="S474" s="187">
        <f t="shared" ca="1" si="157"/>
        <v>11378492</v>
      </c>
      <c r="T474" s="181"/>
    </row>
    <row r="475" spans="1:20" s="17" customFormat="1" outlineLevel="1" x14ac:dyDescent="0.25">
      <c r="A475" s="17">
        <f t="shared" si="162"/>
        <v>43</v>
      </c>
      <c r="B475"/>
      <c r="C475" t="str">
        <f>$F471</f>
        <v>SHC at Summerfield Rehab &amp; Wellness Center</v>
      </c>
      <c r="D475" s="3" t="str">
        <f t="shared" si="159"/>
        <v>T_OPEX - Tenant Operating Expenses</v>
      </c>
      <c r="E475"/>
      <c r="F475" s="24" t="str">
        <f>_xll.EVDES(D475)</f>
        <v>Tenant Operating Expenses</v>
      </c>
      <c r="G475" s="19">
        <f ca="1">SUMIFS(OFFSET('BPC Data'!$F:$F,0,Summary!G$2),'BPC Data'!$E:$E,Summary!$D475,'BPC Data'!$B:$B,Summary!$C475)</f>
        <v>1035768</v>
      </c>
      <c r="H475" s="183">
        <f ca="1">SUMIFS(OFFSET('BPC Data'!$F:$F,0,Summary!H$2),'BPC Data'!$E:$E,Summary!$D475,'BPC Data'!$B:$B,Summary!$C475)</f>
        <v>1004054</v>
      </c>
      <c r="I475" s="19">
        <f ca="1">SUMIFS(OFFSET('BPC Data'!$F:$F,0,Summary!I$2),'BPC Data'!$E:$E,Summary!$D475,'BPC Data'!$B:$B,Summary!$C475)</f>
        <v>982708</v>
      </c>
      <c r="J475" s="183">
        <f ca="1">SUMIFS(OFFSET('BPC Data'!$F:$F,0,Summary!J$2),'BPC Data'!$E:$E,Summary!$D475,'BPC Data'!$B:$B,Summary!$C475)</f>
        <v>1471497</v>
      </c>
      <c r="K475" s="19">
        <f ca="1">SUMIFS(OFFSET('BPC Data'!$F:$F,0,Summary!K$2),'BPC Data'!$E:$E,Summary!$D475,'BPC Data'!$B:$B,Summary!$C475)</f>
        <v>951991</v>
      </c>
      <c r="L475" s="183">
        <f ca="1">SUMIFS(OFFSET('BPC Data'!$F:$F,0,Summary!L$2),'BPC Data'!$E:$E,Summary!$D475,'BPC Data'!$B:$B,Summary!$C475)</f>
        <v>883823</v>
      </c>
      <c r="M475" s="19">
        <f ca="1">SUMIFS(OFFSET('BPC Data'!$F:$F,0,Summary!M$2),'BPC Data'!$E:$E,Summary!$D475,'BPC Data'!$B:$B,Summary!$C475)</f>
        <v>864889</v>
      </c>
      <c r="N475" s="183">
        <f ca="1">SUMIFS(OFFSET('BPC Data'!$F:$F,0,Summary!N$2),'BPC Data'!$E:$E,Summary!$D475,'BPC Data'!$B:$B,Summary!$C475)</f>
        <v>676767</v>
      </c>
      <c r="O475" s="19">
        <f ca="1">SUMIFS(OFFSET('BPC Data'!$F:$F,0,Summary!O$2),'BPC Data'!$E:$E,Summary!$D475,'BPC Data'!$B:$B,Summary!$C475)</f>
        <v>679553</v>
      </c>
      <c r="P475" s="183">
        <f ca="1">SUMIFS(OFFSET('BPC Data'!$F:$F,0,Summary!P$2),'BPC Data'!$E:$E,Summary!$D475,'BPC Data'!$B:$B,Summary!$C475)</f>
        <v>676841</v>
      </c>
      <c r="Q475" s="19">
        <f ca="1">SUMIFS(OFFSET('BPC Data'!$F:$F,0,Summary!Q$2),'BPC Data'!$E:$E,Summary!$D475,'BPC Data'!$B:$B,Summary!$C475)</f>
        <v>743231</v>
      </c>
      <c r="R475" s="183">
        <f ca="1">SUMIFS(OFFSET('BPC Data'!$F:$F,0,Summary!R$2),'BPC Data'!$E:$E,Summary!$D475,'BPC Data'!$B:$B,Summary!$C475)</f>
        <v>718343</v>
      </c>
      <c r="S475" s="187">
        <f t="shared" ca="1" si="157"/>
        <v>10689465</v>
      </c>
      <c r="T475" s="181"/>
    </row>
    <row r="476" spans="1:20" s="17" customFormat="1" outlineLevel="1" x14ac:dyDescent="0.25">
      <c r="A476" s="17">
        <f t="shared" si="162"/>
        <v>43</v>
      </c>
      <c r="B476"/>
      <c r="C476" t="str">
        <f>$F471</f>
        <v>SHC at Summerfield Rehab &amp; Wellness Center</v>
      </c>
      <c r="D476" s="3" t="str">
        <f t="shared" si="159"/>
        <v>T_BAD_DEBT - Tenant Bad Debt Expense</v>
      </c>
      <c r="E476"/>
      <c r="F476" s="24" t="str">
        <f>_xll.EVDES(D476)</f>
        <v>Tenant Bad Debt Expense</v>
      </c>
      <c r="G476" s="19">
        <f ca="1">SUMIFS(OFFSET('BPC Data'!$F:$F,0,Summary!G$2),'BPC Data'!$E:$E,Summary!$D476,'BPC Data'!$B:$B,Summary!$C476)</f>
        <v>100024</v>
      </c>
      <c r="H476" s="183">
        <f ca="1">SUMIFS(OFFSET('BPC Data'!$F:$F,0,Summary!H$2),'BPC Data'!$E:$E,Summary!$D476,'BPC Data'!$B:$B,Summary!$C476)</f>
        <v>29597</v>
      </c>
      <c r="I476" s="19">
        <f ca="1">SUMIFS(OFFSET('BPC Data'!$F:$F,0,Summary!I$2),'BPC Data'!$E:$E,Summary!$D476,'BPC Data'!$B:$B,Summary!$C476)</f>
        <v>22500</v>
      </c>
      <c r="J476" s="183">
        <f ca="1">SUMIFS(OFFSET('BPC Data'!$F:$F,0,Summary!J$2),'BPC Data'!$E:$E,Summary!$D476,'BPC Data'!$B:$B,Summary!$C476)</f>
        <v>66728</v>
      </c>
      <c r="K476" s="19">
        <f ca="1">SUMIFS(OFFSET('BPC Data'!$F:$F,0,Summary!K$2),'BPC Data'!$E:$E,Summary!$D476,'BPC Data'!$B:$B,Summary!$C476)</f>
        <v>25000</v>
      </c>
      <c r="L476" s="183">
        <f ca="1">SUMIFS(OFFSET('BPC Data'!$F:$F,0,Summary!L$2),'BPC Data'!$E:$E,Summary!$D476,'BPC Data'!$B:$B,Summary!$C476)</f>
        <v>25000</v>
      </c>
      <c r="M476" s="19">
        <f ca="1">SUMIFS(OFFSET('BPC Data'!$F:$F,0,Summary!M$2),'BPC Data'!$E:$E,Summary!$D476,'BPC Data'!$B:$B,Summary!$C476)</f>
        <v>0</v>
      </c>
      <c r="N476" s="183">
        <f ca="1">SUMIFS(OFFSET('BPC Data'!$F:$F,0,Summary!N$2),'BPC Data'!$E:$E,Summary!$D476,'BPC Data'!$B:$B,Summary!$C476)</f>
        <v>5000</v>
      </c>
      <c r="O476" s="19">
        <f ca="1">SUMIFS(OFFSET('BPC Data'!$F:$F,0,Summary!O$2),'BPC Data'!$E:$E,Summary!$D476,'BPC Data'!$B:$B,Summary!$C476)</f>
        <v>0</v>
      </c>
      <c r="P476" s="183">
        <f ca="1">SUMIFS(OFFSET('BPC Data'!$F:$F,0,Summary!P$2),'BPC Data'!$E:$E,Summary!$D476,'BPC Data'!$B:$B,Summary!$C476)</f>
        <v>0</v>
      </c>
      <c r="Q476" s="19">
        <f ca="1">SUMIFS(OFFSET('BPC Data'!$F:$F,0,Summary!Q$2),'BPC Data'!$E:$E,Summary!$D476,'BPC Data'!$B:$B,Summary!$C476)</f>
        <v>15000</v>
      </c>
      <c r="R476" s="183">
        <f ca="1">SUMIFS(OFFSET('BPC Data'!$F:$F,0,Summary!R$2),'BPC Data'!$E:$E,Summary!$D476,'BPC Data'!$B:$B,Summary!$C476)</f>
        <v>10000</v>
      </c>
      <c r="S476" s="187">
        <f t="shared" ca="1" si="157"/>
        <v>298849</v>
      </c>
      <c r="T476" s="181"/>
    </row>
    <row r="477" spans="1:20" s="17" customFormat="1" outlineLevel="1" x14ac:dyDescent="0.25">
      <c r="A477" s="17">
        <f t="shared" si="162"/>
        <v>43</v>
      </c>
      <c r="B477"/>
      <c r="C477" t="str">
        <f>$F471</f>
        <v>SHC at Summerfield Rehab &amp; Wellness Center</v>
      </c>
      <c r="D477" s="2" t="str">
        <f t="shared" si="159"/>
        <v>T_EBITDARM - EBITDARM</v>
      </c>
      <c r="E477"/>
      <c r="F477" s="24" t="str">
        <f>_xll.EVDES(D477)</f>
        <v>EBITDARM</v>
      </c>
      <c r="G477" s="19">
        <f ca="1">SUMIFS(OFFSET('BPC Data'!$F:$F,0,Summary!G$2),'BPC Data'!$E:$E,Summary!$D477,'BPC Data'!$B:$B,Summary!$C477)</f>
        <v>12541</v>
      </c>
      <c r="H477" s="183">
        <f ca="1">SUMIFS(OFFSET('BPC Data'!$F:$F,0,Summary!H$2),'BPC Data'!$E:$E,Summary!$D477,'BPC Data'!$B:$B,Summary!$C477)</f>
        <v>38031</v>
      </c>
      <c r="I477" s="19">
        <f ca="1">SUMIFS(OFFSET('BPC Data'!$F:$F,0,Summary!I$2),'BPC Data'!$E:$E,Summary!$D477,'BPC Data'!$B:$B,Summary!$C477)</f>
        <v>178413</v>
      </c>
      <c r="J477" s="183">
        <f ca="1">SUMIFS(OFFSET('BPC Data'!$F:$F,0,Summary!J$2),'BPC Data'!$E:$E,Summary!$D477,'BPC Data'!$B:$B,Summary!$C477)</f>
        <v>-170075</v>
      </c>
      <c r="K477" s="19">
        <f ca="1">SUMIFS(OFFSET('BPC Data'!$F:$F,0,Summary!K$2),'BPC Data'!$E:$E,Summary!$D477,'BPC Data'!$B:$B,Summary!$C477)</f>
        <v>-20052</v>
      </c>
      <c r="L477" s="183">
        <f ca="1">SUMIFS(OFFSET('BPC Data'!$F:$F,0,Summary!L$2),'BPC Data'!$E:$E,Summary!$D477,'BPC Data'!$B:$B,Summary!$C477)</f>
        <v>-35186</v>
      </c>
      <c r="M477" s="19">
        <f ca="1">SUMIFS(OFFSET('BPC Data'!$F:$F,0,Summary!M$2),'BPC Data'!$E:$E,Summary!$D477,'BPC Data'!$B:$B,Summary!$C477)</f>
        <v>152743</v>
      </c>
      <c r="N477" s="183">
        <f ca="1">SUMIFS(OFFSET('BPC Data'!$F:$F,0,Summary!N$2),'BPC Data'!$E:$E,Summary!$D477,'BPC Data'!$B:$B,Summary!$C477)</f>
        <v>88455</v>
      </c>
      <c r="O477" s="19">
        <f ca="1">SUMIFS(OFFSET('BPC Data'!$F:$F,0,Summary!O$2),'BPC Data'!$E:$E,Summary!$D477,'BPC Data'!$B:$B,Summary!$C477)</f>
        <v>117351</v>
      </c>
      <c r="P477" s="183">
        <f ca="1">SUMIFS(OFFSET('BPC Data'!$F:$F,0,Summary!P$2),'BPC Data'!$E:$E,Summary!$D477,'BPC Data'!$B:$B,Summary!$C477)</f>
        <v>126106</v>
      </c>
      <c r="Q477" s="19">
        <f ca="1">SUMIFS(OFFSET('BPC Data'!$F:$F,0,Summary!Q$2),'BPC Data'!$E:$E,Summary!$D477,'BPC Data'!$B:$B,Summary!$C477)</f>
        <v>124187</v>
      </c>
      <c r="R477" s="183">
        <f ca="1">SUMIFS(OFFSET('BPC Data'!$F:$F,0,Summary!R$2),'BPC Data'!$E:$E,Summary!$D477,'BPC Data'!$B:$B,Summary!$C477)</f>
        <v>76513</v>
      </c>
      <c r="S477" s="187">
        <f t="shared" ca="1" si="157"/>
        <v>689027</v>
      </c>
      <c r="T477" s="181"/>
    </row>
    <row r="478" spans="1:20" s="17" customFormat="1" outlineLevel="1" x14ac:dyDescent="0.25">
      <c r="A478" s="17">
        <f t="shared" si="162"/>
        <v>43</v>
      </c>
      <c r="B478"/>
      <c r="C478" t="str">
        <f>$F471</f>
        <v>SHC at Summerfield Rehab &amp; Wellness Center</v>
      </c>
      <c r="D478" s="2" t="str">
        <f t="shared" si="159"/>
        <v>T_MGMT_FEE - Tenant Management Fee - Actual</v>
      </c>
      <c r="E478"/>
      <c r="F478" s="24" t="str">
        <f>_xll.EVDES(D478)</f>
        <v>Tenant Management Fee - Actual</v>
      </c>
      <c r="G478" s="19">
        <f ca="1">SUMIFS(OFFSET('BPC Data'!$F:$F,0,Summary!G$2),'BPC Data'!$E:$E,Summary!$D478,'BPC Data'!$B:$B,Summary!$C478)</f>
        <v>52816</v>
      </c>
      <c r="H478" s="183">
        <f ca="1">SUMIFS(OFFSET('BPC Data'!$F:$F,0,Summary!H$2),'BPC Data'!$E:$E,Summary!$D478,'BPC Data'!$B:$B,Summary!$C478)</f>
        <v>52625</v>
      </c>
      <c r="I478" s="19">
        <f ca="1">SUMIFS(OFFSET('BPC Data'!$F:$F,0,Summary!I$2),'BPC Data'!$E:$E,Summary!$D478,'BPC Data'!$B:$B,Summary!$C478)</f>
        <v>58637</v>
      </c>
      <c r="J478" s="183">
        <f ca="1">SUMIFS(OFFSET('BPC Data'!$F:$F,0,Summary!J$2),'BPC Data'!$E:$E,Summary!$D478,'BPC Data'!$B:$B,Summary!$C478)</f>
        <v>64679</v>
      </c>
      <c r="K478" s="19">
        <f ca="1">SUMIFS(OFFSET('BPC Data'!$F:$F,0,Summary!K$2),'BPC Data'!$E:$E,Summary!$D478,'BPC Data'!$B:$B,Summary!$C478)</f>
        <v>47952</v>
      </c>
      <c r="L478" s="183">
        <f ca="1">SUMIFS(OFFSET('BPC Data'!$F:$F,0,Summary!L$2),'BPC Data'!$E:$E,Summary!$D478,'BPC Data'!$B:$B,Summary!$C478)</f>
        <v>42856</v>
      </c>
      <c r="M478" s="19">
        <f ca="1">SUMIFS(OFFSET('BPC Data'!$F:$F,0,Summary!M$2),'BPC Data'!$E:$E,Summary!$D478,'BPC Data'!$B:$B,Summary!$C478)</f>
        <v>51390</v>
      </c>
      <c r="N478" s="183">
        <f ca="1">SUMIFS(OFFSET('BPC Data'!$F:$F,0,Summary!N$2),'BPC Data'!$E:$E,Summary!$D478,'BPC Data'!$B:$B,Summary!$C478)</f>
        <v>38644</v>
      </c>
      <c r="O478" s="19">
        <f ca="1">SUMIFS(OFFSET('BPC Data'!$F:$F,0,Summary!O$2),'BPC Data'!$E:$E,Summary!$D478,'BPC Data'!$B:$B,Summary!$C478)</f>
        <v>40244</v>
      </c>
      <c r="P478" s="183">
        <f ca="1">SUMIFS(OFFSET('BPC Data'!$F:$F,0,Summary!P$2),'BPC Data'!$E:$E,Summary!$D478,'BPC Data'!$B:$B,Summary!$C478)</f>
        <v>40549</v>
      </c>
      <c r="Q478" s="19">
        <f ca="1">SUMIFS(OFFSET('BPC Data'!$F:$F,0,Summary!Q$2),'BPC Data'!$E:$E,Summary!$D478,'BPC Data'!$B:$B,Summary!$C478)</f>
        <v>43805</v>
      </c>
      <c r="R478" s="183">
        <f ca="1">SUMIFS(OFFSET('BPC Data'!$F:$F,0,Summary!R$2),'BPC Data'!$E:$E,Summary!$D478,'BPC Data'!$B:$B,Summary!$C478)</f>
        <v>40140</v>
      </c>
      <c r="S478" s="187">
        <f t="shared" ca="1" si="157"/>
        <v>574337</v>
      </c>
      <c r="T478" s="181"/>
    </row>
    <row r="479" spans="1:20" s="17" customFormat="1" outlineLevel="1" x14ac:dyDescent="0.25">
      <c r="A479" s="17">
        <f t="shared" si="162"/>
        <v>43</v>
      </c>
      <c r="B479"/>
      <c r="C479" t="str">
        <f>$F471</f>
        <v>SHC at Summerfield Rehab &amp; Wellness Center</v>
      </c>
      <c r="D479" s="1" t="str">
        <f t="shared" si="159"/>
        <v>T_EBITDAR - EBITDAR</v>
      </c>
      <c r="E479"/>
      <c r="F479" s="24" t="str">
        <f>_xll.EVDES(D479)</f>
        <v>EBITDAR</v>
      </c>
      <c r="G479" s="19">
        <f ca="1">SUMIFS(OFFSET('BPC Data'!$F:$F,0,Summary!G$2),'BPC Data'!$E:$E,Summary!$D479,'BPC Data'!$B:$B,Summary!$C479)</f>
        <v>-40275</v>
      </c>
      <c r="H479" s="183">
        <f ca="1">SUMIFS(OFFSET('BPC Data'!$F:$F,0,Summary!H$2),'BPC Data'!$E:$E,Summary!$D479,'BPC Data'!$B:$B,Summary!$C479)</f>
        <v>-14594</v>
      </c>
      <c r="I479" s="19">
        <f ca="1">SUMIFS(OFFSET('BPC Data'!$F:$F,0,Summary!I$2),'BPC Data'!$E:$E,Summary!$D479,'BPC Data'!$B:$B,Summary!$C479)</f>
        <v>119776</v>
      </c>
      <c r="J479" s="183">
        <f ca="1">SUMIFS(OFFSET('BPC Data'!$F:$F,0,Summary!J$2),'BPC Data'!$E:$E,Summary!$D479,'BPC Data'!$B:$B,Summary!$C479)</f>
        <v>-234754</v>
      </c>
      <c r="K479" s="19">
        <f ca="1">SUMIFS(OFFSET('BPC Data'!$F:$F,0,Summary!K$2),'BPC Data'!$E:$E,Summary!$D479,'BPC Data'!$B:$B,Summary!$C479)</f>
        <v>-68004</v>
      </c>
      <c r="L479" s="183">
        <f ca="1">SUMIFS(OFFSET('BPC Data'!$F:$F,0,Summary!L$2),'BPC Data'!$E:$E,Summary!$D479,'BPC Data'!$B:$B,Summary!$C479)</f>
        <v>-78042</v>
      </c>
      <c r="M479" s="19">
        <f ca="1">SUMIFS(OFFSET('BPC Data'!$F:$F,0,Summary!M$2),'BPC Data'!$E:$E,Summary!$D479,'BPC Data'!$B:$B,Summary!$C479)</f>
        <v>101353</v>
      </c>
      <c r="N479" s="183">
        <f ca="1">SUMIFS(OFFSET('BPC Data'!$F:$F,0,Summary!N$2),'BPC Data'!$E:$E,Summary!$D479,'BPC Data'!$B:$B,Summary!$C479)</f>
        <v>49811</v>
      </c>
      <c r="O479" s="19">
        <f ca="1">SUMIFS(OFFSET('BPC Data'!$F:$F,0,Summary!O$2),'BPC Data'!$E:$E,Summary!$D479,'BPC Data'!$B:$B,Summary!$C479)</f>
        <v>77107</v>
      </c>
      <c r="P479" s="183">
        <f ca="1">SUMIFS(OFFSET('BPC Data'!$F:$F,0,Summary!P$2),'BPC Data'!$E:$E,Summary!$D479,'BPC Data'!$B:$B,Summary!$C479)</f>
        <v>85557</v>
      </c>
      <c r="Q479" s="19">
        <f ca="1">SUMIFS(OFFSET('BPC Data'!$F:$F,0,Summary!Q$2),'BPC Data'!$E:$E,Summary!$D479,'BPC Data'!$B:$B,Summary!$C479)</f>
        <v>80382</v>
      </c>
      <c r="R479" s="183">
        <f ca="1">SUMIFS(OFFSET('BPC Data'!$F:$F,0,Summary!R$2),'BPC Data'!$E:$E,Summary!$D479,'BPC Data'!$B:$B,Summary!$C479)</f>
        <v>36373</v>
      </c>
      <c r="S479" s="187">
        <f t="shared" ca="1" si="157"/>
        <v>114690</v>
      </c>
      <c r="T479" s="181"/>
    </row>
    <row r="480" spans="1:20" s="17" customFormat="1" outlineLevel="1" x14ac:dyDescent="0.25">
      <c r="A480" s="17">
        <f t="shared" si="162"/>
        <v>43</v>
      </c>
      <c r="B480"/>
      <c r="C480" t="str">
        <f>$F471</f>
        <v>SHC at Summerfield Rehab &amp; Wellness Center</v>
      </c>
      <c r="D480" s="1" t="str">
        <f t="shared" si="159"/>
        <v>T_RENT_EXP - Tenant Rent Expense</v>
      </c>
      <c r="E480"/>
      <c r="F480" s="24" t="str">
        <f>_xll.EVDES(D480)</f>
        <v>Tenant Rent Expense</v>
      </c>
      <c r="G480" s="19">
        <f ca="1">SUMIFS(OFFSET('BPC Data'!$F:$F,0,Summary!G$2),'BPC Data'!$E:$E,Summary!$D480,'BPC Data'!$B:$B,Summary!$C480)</f>
        <v>5253</v>
      </c>
      <c r="H480" s="183">
        <f ca="1">SUMIFS(OFFSET('BPC Data'!$F:$F,0,Summary!H$2),'BPC Data'!$E:$E,Summary!$D480,'BPC Data'!$B:$B,Summary!$C480)</f>
        <v>5253</v>
      </c>
      <c r="I480" s="19">
        <f ca="1">SUMIFS(OFFSET('BPC Data'!$F:$F,0,Summary!I$2),'BPC Data'!$E:$E,Summary!$D480,'BPC Data'!$B:$B,Summary!$C480)</f>
        <v>5253</v>
      </c>
      <c r="J480" s="183">
        <f ca="1">SUMIFS(OFFSET('BPC Data'!$F:$F,0,Summary!J$2),'BPC Data'!$E:$E,Summary!$D480,'BPC Data'!$B:$B,Summary!$C480)</f>
        <v>5384</v>
      </c>
      <c r="K480" s="19">
        <f ca="1">SUMIFS(OFFSET('BPC Data'!$F:$F,0,Summary!K$2),'BPC Data'!$E:$E,Summary!$D480,'BPC Data'!$B:$B,Summary!$C480)</f>
        <v>5384</v>
      </c>
      <c r="L480" s="183">
        <f ca="1">SUMIFS(OFFSET('BPC Data'!$F:$F,0,Summary!L$2),'BPC Data'!$E:$E,Summary!$D480,'BPC Data'!$B:$B,Summary!$C480)</f>
        <v>5384</v>
      </c>
      <c r="M480" s="19">
        <f ca="1">SUMIFS(OFFSET('BPC Data'!$F:$F,0,Summary!M$2),'BPC Data'!$E:$E,Summary!$D480,'BPC Data'!$B:$B,Summary!$C480)</f>
        <v>5384</v>
      </c>
      <c r="N480" s="183">
        <f ca="1">SUMIFS(OFFSET('BPC Data'!$F:$F,0,Summary!N$2),'BPC Data'!$E:$E,Summary!$D480,'BPC Data'!$B:$B,Summary!$C480)</f>
        <v>5384</v>
      </c>
      <c r="O480" s="19">
        <f ca="1">SUMIFS(OFFSET('BPC Data'!$F:$F,0,Summary!O$2),'BPC Data'!$E:$E,Summary!$D480,'BPC Data'!$B:$B,Summary!$C480)</f>
        <v>5384</v>
      </c>
      <c r="P480" s="183">
        <f ca="1">SUMIFS(OFFSET('BPC Data'!$F:$F,0,Summary!P$2),'BPC Data'!$E:$E,Summary!$D480,'BPC Data'!$B:$B,Summary!$C480)</f>
        <v>5384</v>
      </c>
      <c r="Q480" s="19">
        <f ca="1">SUMIFS(OFFSET('BPC Data'!$F:$F,0,Summary!Q$2),'BPC Data'!$E:$E,Summary!$D480,'BPC Data'!$B:$B,Summary!$C480)</f>
        <v>5384</v>
      </c>
      <c r="R480" s="183">
        <f ca="1">SUMIFS(OFFSET('BPC Data'!$F:$F,0,Summary!R$2),'BPC Data'!$E:$E,Summary!$D480,'BPC Data'!$B:$B,Summary!$C480)</f>
        <v>5384</v>
      </c>
      <c r="S480" s="187">
        <f t="shared" ca="1" si="157"/>
        <v>64215</v>
      </c>
      <c r="T480" s="181"/>
    </row>
    <row r="481" spans="1:20" s="17" customFormat="1" outlineLevel="1" x14ac:dyDescent="0.25">
      <c r="A481" s="17">
        <f t="shared" si="162"/>
        <v>43</v>
      </c>
      <c r="B481"/>
      <c r="C481"/>
      <c r="D481" s="1" t="str">
        <f t="shared" si="159"/>
        <v>x</v>
      </c>
      <c r="E481"/>
      <c r="F481" s="24" t="s">
        <v>0</v>
      </c>
      <c r="G481" s="12">
        <f ca="1">G479/G480</f>
        <v>-7.667047401484866</v>
      </c>
      <c r="H481" s="184">
        <f t="shared" ref="H481:I481" ca="1" si="163">H479/H480</f>
        <v>-2.7782219683990101</v>
      </c>
      <c r="I481" s="12">
        <f t="shared" ca="1" si="163"/>
        <v>22.801446792309157</v>
      </c>
      <c r="J481" s="184">
        <f t="shared" ref="J481:R481" ca="1" si="164">J479/J480</f>
        <v>-43.60215453194651</v>
      </c>
      <c r="K481" s="12">
        <f t="shared" ca="1" si="164"/>
        <v>-12.63075780089153</v>
      </c>
      <c r="L481" s="184">
        <f t="shared" ca="1" si="164"/>
        <v>-14.495170876671619</v>
      </c>
      <c r="M481" s="12">
        <f t="shared" ca="1" si="164"/>
        <v>18.824851411589897</v>
      </c>
      <c r="N481" s="184">
        <f t="shared" ca="1" si="164"/>
        <v>9.2516716196136706</v>
      </c>
      <c r="O481" s="12">
        <f t="shared" ca="1" si="164"/>
        <v>14.321508172362556</v>
      </c>
      <c r="P481" s="184">
        <f t="shared" ca="1" si="164"/>
        <v>15.890973254086182</v>
      </c>
      <c r="Q481" s="12">
        <f t="shared" ca="1" si="164"/>
        <v>14.929791976225854</v>
      </c>
      <c r="R481" s="184">
        <f t="shared" ca="1" si="164"/>
        <v>6.7557578008915309</v>
      </c>
      <c r="S481" s="187">
        <f t="shared" ca="1" si="157"/>
        <v>21.602648447685318</v>
      </c>
      <c r="T481" s="181"/>
    </row>
    <row r="482" spans="1:20" s="17" customFormat="1" outlineLevel="1" x14ac:dyDescent="0.25">
      <c r="A482" s="17">
        <f>IF(AND(D482&lt;&gt;"",C482=""),A481+1,A481)</f>
        <v>44</v>
      </c>
      <c r="B482" s="5"/>
      <c r="C482" s="5"/>
      <c r="D482" s="5" t="str">
        <f t="shared" si="159"/>
        <v>x</v>
      </c>
      <c r="E482" s="5"/>
      <c r="F482" s="23" t="str">
        <f>INDEX(PropertyList!$D:$D,MATCH(Summary!$A482,PropertyList!$C:$C,0))</f>
        <v>SHC at Tanbark Rehab &amp; Welllness Center</v>
      </c>
      <c r="G482" s="11"/>
      <c r="H482" s="182"/>
      <c r="I482" s="11"/>
      <c r="J482" s="182"/>
      <c r="K482" s="11"/>
      <c r="L482" s="182"/>
      <c r="M482" s="11"/>
      <c r="N482" s="182"/>
      <c r="O482" s="11"/>
      <c r="P482" s="182"/>
      <c r="Q482" s="11"/>
      <c r="R482" s="182"/>
      <c r="S482" s="187">
        <f t="shared" si="157"/>
        <v>0</v>
      </c>
      <c r="T482" s="181"/>
    </row>
    <row r="483" spans="1:20" s="17" customFormat="1" outlineLevel="1" x14ac:dyDescent="0.25">
      <c r="A483" s="17">
        <f>IF(AND(F483&lt;&gt;"",D483=""),A482+1,A482)</f>
        <v>44</v>
      </c>
      <c r="C483" t="str">
        <f>$F482</f>
        <v>SHC at Tanbark Rehab &amp; Welllness Center</v>
      </c>
      <c r="D483" s="3" t="str">
        <f t="shared" si="159"/>
        <v>PAY_PAT_DAYS - Total Payor Patient Days</v>
      </c>
      <c r="F483" s="24" t="str">
        <f>_xll.EVDES(D483)</f>
        <v>Total Payor Patient Days</v>
      </c>
      <c r="G483" s="19">
        <f ca="1">SUMIFS(OFFSET('BPC Data'!$F:$F,0,Summary!G$2),'BPC Data'!$E:$E,Summary!$D483,'BPC Data'!$B:$B,Summary!$C483)</f>
        <v>1263</v>
      </c>
      <c r="H483" s="183">
        <f ca="1">SUMIFS(OFFSET('BPC Data'!$F:$F,0,Summary!H$2),'BPC Data'!$E:$E,Summary!$D483,'BPC Data'!$B:$B,Summary!$C483)</f>
        <v>1726</v>
      </c>
      <c r="I483" s="19">
        <f ca="1">SUMIFS(OFFSET('BPC Data'!$F:$F,0,Summary!I$2),'BPC Data'!$E:$E,Summary!$D483,'BPC Data'!$B:$B,Summary!$C483)</f>
        <v>1149</v>
      </c>
      <c r="J483" s="183">
        <f ca="1">SUMIFS(OFFSET('BPC Data'!$F:$F,0,Summary!J$2),'BPC Data'!$E:$E,Summary!$D483,'BPC Data'!$B:$B,Summary!$C483)</f>
        <v>1334</v>
      </c>
      <c r="K483" s="19">
        <f ca="1">SUMIFS(OFFSET('BPC Data'!$F:$F,0,Summary!K$2),'BPC Data'!$E:$E,Summary!$D483,'BPC Data'!$B:$B,Summary!$C483)</f>
        <v>1609</v>
      </c>
      <c r="L483" s="183">
        <f ca="1">SUMIFS(OFFSET('BPC Data'!$F:$F,0,Summary!L$2),'BPC Data'!$E:$E,Summary!$D483,'BPC Data'!$B:$B,Summary!$C483)</f>
        <v>1466</v>
      </c>
      <c r="M483" s="19">
        <f ca="1">SUMIFS(OFFSET('BPC Data'!$F:$F,0,Summary!M$2),'BPC Data'!$E:$E,Summary!$D483,'BPC Data'!$B:$B,Summary!$C483)</f>
        <v>1686</v>
      </c>
      <c r="N483" s="183">
        <f ca="1">SUMIFS(OFFSET('BPC Data'!$F:$F,0,Summary!N$2),'BPC Data'!$E:$E,Summary!$D483,'BPC Data'!$B:$B,Summary!$C483)</f>
        <v>1688</v>
      </c>
      <c r="O483" s="19">
        <f ca="1">SUMIFS(OFFSET('BPC Data'!$F:$F,0,Summary!O$2),'BPC Data'!$E:$E,Summary!$D483,'BPC Data'!$B:$B,Summary!$C483)</f>
        <v>1644</v>
      </c>
      <c r="P483" s="183">
        <f ca="1">SUMIFS(OFFSET('BPC Data'!$F:$F,0,Summary!P$2),'BPC Data'!$E:$E,Summary!$D483,'BPC Data'!$B:$B,Summary!$C483)</f>
        <v>1480</v>
      </c>
      <c r="Q483" s="19">
        <f ca="1">SUMIFS(OFFSET('BPC Data'!$F:$F,0,Summary!Q$2),'BPC Data'!$E:$E,Summary!$D483,'BPC Data'!$B:$B,Summary!$C483)</f>
        <v>1541</v>
      </c>
      <c r="R483" s="183">
        <f ca="1">SUMIFS(OFFSET('BPC Data'!$F:$F,0,Summary!R$2),'BPC Data'!$E:$E,Summary!$D483,'BPC Data'!$B:$B,Summary!$C483)</f>
        <v>1423</v>
      </c>
      <c r="S483" s="187">
        <f t="shared" ca="1" si="157"/>
        <v>18009</v>
      </c>
      <c r="T483" s="181"/>
    </row>
    <row r="484" spans="1:20" s="17" customFormat="1" outlineLevel="1" x14ac:dyDescent="0.25">
      <c r="A484" s="17">
        <f t="shared" ref="A484:A492" si="165">IF(AND(F484&lt;&gt;"",D484=""),A483+1,A483)</f>
        <v>44</v>
      </c>
      <c r="C484" t="str">
        <f>$F482</f>
        <v>SHC at Tanbark Rehab &amp; Welllness Center</v>
      </c>
      <c r="D484" s="3" t="str">
        <f t="shared" si="159"/>
        <v>A_BEDS_TOTAL - Total Available Beds</v>
      </c>
      <c r="F484" s="24" t="str">
        <f>_xll.EVDES(D484)</f>
        <v>Total Available Beds</v>
      </c>
      <c r="G484" s="19">
        <f ca="1">SUMIFS(OFFSET('BPC Data'!$F:$F,0,Summary!G$2),'BPC Data'!$E:$E,Summary!$D484,'BPC Data'!$B:$B,Summary!$C484)</f>
        <v>96</v>
      </c>
      <c r="H484" s="183">
        <f ca="1">SUMIFS(OFFSET('BPC Data'!$F:$F,0,Summary!H$2),'BPC Data'!$E:$E,Summary!$D484,'BPC Data'!$B:$B,Summary!$C484)</f>
        <v>96</v>
      </c>
      <c r="I484" s="19">
        <f ca="1">SUMIFS(OFFSET('BPC Data'!$F:$F,0,Summary!I$2),'BPC Data'!$E:$E,Summary!$D484,'BPC Data'!$B:$B,Summary!$C484)</f>
        <v>96</v>
      </c>
      <c r="J484" s="183">
        <f ca="1">SUMIFS(OFFSET('BPC Data'!$F:$F,0,Summary!J$2),'BPC Data'!$E:$E,Summary!$D484,'BPC Data'!$B:$B,Summary!$C484)</f>
        <v>96</v>
      </c>
      <c r="K484" s="19">
        <f ca="1">SUMIFS(OFFSET('BPC Data'!$F:$F,0,Summary!K$2),'BPC Data'!$E:$E,Summary!$D484,'BPC Data'!$B:$B,Summary!$C484)</f>
        <v>96</v>
      </c>
      <c r="L484" s="183">
        <f ca="1">SUMIFS(OFFSET('BPC Data'!$F:$F,0,Summary!L$2),'BPC Data'!$E:$E,Summary!$D484,'BPC Data'!$B:$B,Summary!$C484)</f>
        <v>96</v>
      </c>
      <c r="M484" s="19">
        <f ca="1">SUMIFS(OFFSET('BPC Data'!$F:$F,0,Summary!M$2),'BPC Data'!$E:$E,Summary!$D484,'BPC Data'!$B:$B,Summary!$C484)</f>
        <v>96</v>
      </c>
      <c r="N484" s="183">
        <f ca="1">SUMIFS(OFFSET('BPC Data'!$F:$F,0,Summary!N$2),'BPC Data'!$E:$E,Summary!$D484,'BPC Data'!$B:$B,Summary!$C484)</f>
        <v>96</v>
      </c>
      <c r="O484" s="19">
        <f ca="1">SUMIFS(OFFSET('BPC Data'!$F:$F,0,Summary!O$2),'BPC Data'!$E:$E,Summary!$D484,'BPC Data'!$B:$B,Summary!$C484)</f>
        <v>96</v>
      </c>
      <c r="P484" s="183">
        <f ca="1">SUMIFS(OFFSET('BPC Data'!$F:$F,0,Summary!P$2),'BPC Data'!$E:$E,Summary!$D484,'BPC Data'!$B:$B,Summary!$C484)</f>
        <v>96</v>
      </c>
      <c r="Q484" s="19">
        <f ca="1">SUMIFS(OFFSET('BPC Data'!$F:$F,0,Summary!Q$2),'BPC Data'!$E:$E,Summary!$D484,'BPC Data'!$B:$B,Summary!$C484)</f>
        <v>96</v>
      </c>
      <c r="R484" s="183">
        <f ca="1">SUMIFS(OFFSET('BPC Data'!$F:$F,0,Summary!R$2),'BPC Data'!$E:$E,Summary!$D484,'BPC Data'!$B:$B,Summary!$C484)</f>
        <v>96</v>
      </c>
      <c r="S484" s="187">
        <f ca="1">R484</f>
        <v>96</v>
      </c>
      <c r="T484" s="181"/>
    </row>
    <row r="485" spans="1:20" s="17" customFormat="1" outlineLevel="1" x14ac:dyDescent="0.25">
      <c r="A485" s="17">
        <f t="shared" si="165"/>
        <v>44</v>
      </c>
      <c r="B485"/>
      <c r="C485" t="str">
        <f>$F482</f>
        <v>SHC at Tanbark Rehab &amp; Welllness Center</v>
      </c>
      <c r="D485" s="3" t="str">
        <f t="shared" si="159"/>
        <v>T_REVENUES - Total Tenant Revenues</v>
      </c>
      <c r="E485"/>
      <c r="F485" s="24" t="str">
        <f>_xll.EVDES(D485)</f>
        <v>Total Tenant Revenues</v>
      </c>
      <c r="G485" s="19">
        <f ca="1">SUMIFS(OFFSET('BPC Data'!$F:$F,0,Summary!G$2),'BPC Data'!$E:$E,Summary!$D485,'BPC Data'!$B:$B,Summary!$C485)</f>
        <v>354752</v>
      </c>
      <c r="H485" s="183">
        <f ca="1">SUMIFS(OFFSET('BPC Data'!$F:$F,0,Summary!H$2),'BPC Data'!$E:$E,Summary!$D485,'BPC Data'!$B:$B,Summary!$C485)</f>
        <v>579055</v>
      </c>
      <c r="I485" s="19">
        <f ca="1">SUMIFS(OFFSET('BPC Data'!$F:$F,0,Summary!I$2),'BPC Data'!$E:$E,Summary!$D485,'BPC Data'!$B:$B,Summary!$C485)</f>
        <v>330912</v>
      </c>
      <c r="J485" s="183">
        <f ca="1">SUMIFS(OFFSET('BPC Data'!$F:$F,0,Summary!J$2),'BPC Data'!$E:$E,Summary!$D485,'BPC Data'!$B:$B,Summary!$C485)</f>
        <v>909508</v>
      </c>
      <c r="K485" s="19">
        <f ca="1">SUMIFS(OFFSET('BPC Data'!$F:$F,0,Summary!K$2),'BPC Data'!$E:$E,Summary!$D485,'BPC Data'!$B:$B,Summary!$C485)</f>
        <v>502543</v>
      </c>
      <c r="L485" s="183">
        <f ca="1">SUMIFS(OFFSET('BPC Data'!$F:$F,0,Summary!L$2),'BPC Data'!$E:$E,Summary!$D485,'BPC Data'!$B:$B,Summary!$C485)</f>
        <v>440147</v>
      </c>
      <c r="M485" s="19">
        <f ca="1">SUMIFS(OFFSET('BPC Data'!$F:$F,0,Summary!M$2),'BPC Data'!$E:$E,Summary!$D485,'BPC Data'!$B:$B,Summary!$C485)</f>
        <v>522404</v>
      </c>
      <c r="N485" s="183">
        <f ca="1">SUMIFS(OFFSET('BPC Data'!$F:$F,0,Summary!N$2),'BPC Data'!$E:$E,Summary!$D485,'BPC Data'!$B:$B,Summary!$C485)</f>
        <v>525934</v>
      </c>
      <c r="O485" s="19">
        <f ca="1">SUMIFS(OFFSET('BPC Data'!$F:$F,0,Summary!O$2),'BPC Data'!$E:$E,Summary!$D485,'BPC Data'!$B:$B,Summary!$C485)</f>
        <v>506301</v>
      </c>
      <c r="P485" s="183">
        <f ca="1">SUMIFS(OFFSET('BPC Data'!$F:$F,0,Summary!P$2),'BPC Data'!$E:$E,Summary!$D485,'BPC Data'!$B:$B,Summary!$C485)</f>
        <v>485140</v>
      </c>
      <c r="Q485" s="19">
        <f ca="1">SUMIFS(OFFSET('BPC Data'!$F:$F,0,Summary!Q$2),'BPC Data'!$E:$E,Summary!$D485,'BPC Data'!$B:$B,Summary!$C485)</f>
        <v>520656</v>
      </c>
      <c r="R485" s="183">
        <f ca="1">SUMIFS(OFFSET('BPC Data'!$F:$F,0,Summary!R$2),'BPC Data'!$E:$E,Summary!$D485,'BPC Data'!$B:$B,Summary!$C485)</f>
        <v>477368</v>
      </c>
      <c r="S485" s="187">
        <f t="shared" ca="1" si="157"/>
        <v>6154720</v>
      </c>
      <c r="T485" s="181"/>
    </row>
    <row r="486" spans="1:20" s="17" customFormat="1" outlineLevel="1" x14ac:dyDescent="0.25">
      <c r="A486" s="17">
        <f t="shared" si="165"/>
        <v>44</v>
      </c>
      <c r="B486"/>
      <c r="C486" t="str">
        <f>$F482</f>
        <v>SHC at Tanbark Rehab &amp; Welllness Center</v>
      </c>
      <c r="D486" s="3" t="str">
        <f t="shared" si="159"/>
        <v>T_OPEX - Tenant Operating Expenses</v>
      </c>
      <c r="E486"/>
      <c r="F486" s="24" t="str">
        <f>_xll.EVDES(D486)</f>
        <v>Tenant Operating Expenses</v>
      </c>
      <c r="G486" s="19">
        <f ca="1">SUMIFS(OFFSET('BPC Data'!$F:$F,0,Summary!G$2),'BPC Data'!$E:$E,Summary!$D486,'BPC Data'!$B:$B,Summary!$C486)</f>
        <v>477658</v>
      </c>
      <c r="H486" s="183">
        <f ca="1">SUMIFS(OFFSET('BPC Data'!$F:$F,0,Summary!H$2),'BPC Data'!$E:$E,Summary!$D486,'BPC Data'!$B:$B,Summary!$C486)</f>
        <v>541052</v>
      </c>
      <c r="I486" s="19">
        <f ca="1">SUMIFS(OFFSET('BPC Data'!$F:$F,0,Summary!I$2),'BPC Data'!$E:$E,Summary!$D486,'BPC Data'!$B:$B,Summary!$C486)</f>
        <v>491586</v>
      </c>
      <c r="J486" s="183">
        <f ca="1">SUMIFS(OFFSET('BPC Data'!$F:$F,0,Summary!J$2),'BPC Data'!$E:$E,Summary!$D486,'BPC Data'!$B:$B,Summary!$C486)</f>
        <v>641991</v>
      </c>
      <c r="K486" s="19">
        <f ca="1">SUMIFS(OFFSET('BPC Data'!$F:$F,0,Summary!K$2),'BPC Data'!$E:$E,Summary!$D486,'BPC Data'!$B:$B,Summary!$C486)</f>
        <v>552406</v>
      </c>
      <c r="L486" s="183">
        <f ca="1">SUMIFS(OFFSET('BPC Data'!$F:$F,0,Summary!L$2),'BPC Data'!$E:$E,Summary!$D486,'BPC Data'!$B:$B,Summary!$C486)</f>
        <v>470293</v>
      </c>
      <c r="M486" s="19">
        <f ca="1">SUMIFS(OFFSET('BPC Data'!$F:$F,0,Summary!M$2),'BPC Data'!$E:$E,Summary!$D486,'BPC Data'!$B:$B,Summary!$C486)</f>
        <v>528204</v>
      </c>
      <c r="N486" s="183">
        <f ca="1">SUMIFS(OFFSET('BPC Data'!$F:$F,0,Summary!N$2),'BPC Data'!$E:$E,Summary!$D486,'BPC Data'!$B:$B,Summary!$C486)</f>
        <v>515478</v>
      </c>
      <c r="O486" s="19">
        <f ca="1">SUMIFS(OFFSET('BPC Data'!$F:$F,0,Summary!O$2),'BPC Data'!$E:$E,Summary!$D486,'BPC Data'!$B:$B,Summary!$C486)</f>
        <v>553780</v>
      </c>
      <c r="P486" s="183">
        <f ca="1">SUMIFS(OFFSET('BPC Data'!$F:$F,0,Summary!P$2),'BPC Data'!$E:$E,Summary!$D486,'BPC Data'!$B:$B,Summary!$C486)</f>
        <v>469170</v>
      </c>
      <c r="Q486" s="19">
        <f ca="1">SUMIFS(OFFSET('BPC Data'!$F:$F,0,Summary!Q$2),'BPC Data'!$E:$E,Summary!$D486,'BPC Data'!$B:$B,Summary!$C486)</f>
        <v>473894</v>
      </c>
      <c r="R486" s="183">
        <f ca="1">SUMIFS(OFFSET('BPC Data'!$F:$F,0,Summary!R$2),'BPC Data'!$E:$E,Summary!$D486,'BPC Data'!$B:$B,Summary!$C486)</f>
        <v>578001</v>
      </c>
      <c r="S486" s="187">
        <f t="shared" ca="1" si="157"/>
        <v>6293513</v>
      </c>
      <c r="T486" s="181"/>
    </row>
    <row r="487" spans="1:20" s="17" customFormat="1" outlineLevel="1" x14ac:dyDescent="0.25">
      <c r="A487" s="17">
        <f t="shared" si="165"/>
        <v>44</v>
      </c>
      <c r="B487"/>
      <c r="C487" t="str">
        <f>$F482</f>
        <v>SHC at Tanbark Rehab &amp; Welllness Center</v>
      </c>
      <c r="D487" s="3" t="str">
        <f t="shared" si="159"/>
        <v>T_BAD_DEBT - Tenant Bad Debt Expense</v>
      </c>
      <c r="E487"/>
      <c r="F487" s="24" t="str">
        <f>_xll.EVDES(D487)</f>
        <v>Tenant Bad Debt Expense</v>
      </c>
      <c r="G487" s="19">
        <f ca="1">SUMIFS(OFFSET('BPC Data'!$F:$F,0,Summary!G$2),'BPC Data'!$E:$E,Summary!$D487,'BPC Data'!$B:$B,Summary!$C487)</f>
        <v>64603</v>
      </c>
      <c r="H487" s="183">
        <f ca="1">SUMIFS(OFFSET('BPC Data'!$F:$F,0,Summary!H$2),'BPC Data'!$E:$E,Summary!$D487,'BPC Data'!$B:$B,Summary!$C487)</f>
        <v>17096</v>
      </c>
      <c r="I487" s="19">
        <f ca="1">SUMIFS(OFFSET('BPC Data'!$F:$F,0,Summary!I$2),'BPC Data'!$E:$E,Summary!$D487,'BPC Data'!$B:$B,Summary!$C487)</f>
        <v>22500</v>
      </c>
      <c r="J487" s="183">
        <f ca="1">SUMIFS(OFFSET('BPC Data'!$F:$F,0,Summary!J$2),'BPC Data'!$E:$E,Summary!$D487,'BPC Data'!$B:$B,Summary!$C487)</f>
        <v>0</v>
      </c>
      <c r="K487" s="19">
        <f ca="1">SUMIFS(OFFSET('BPC Data'!$F:$F,0,Summary!K$2),'BPC Data'!$E:$E,Summary!$D487,'BPC Data'!$B:$B,Summary!$C487)</f>
        <v>7500</v>
      </c>
      <c r="L487" s="183">
        <f ca="1">SUMIFS(OFFSET('BPC Data'!$F:$F,0,Summary!L$2),'BPC Data'!$E:$E,Summary!$D487,'BPC Data'!$B:$B,Summary!$C487)</f>
        <v>0</v>
      </c>
      <c r="M487" s="19">
        <f ca="1">SUMIFS(OFFSET('BPC Data'!$F:$F,0,Summary!M$2),'BPC Data'!$E:$E,Summary!$D487,'BPC Data'!$B:$B,Summary!$C487)</f>
        <v>0</v>
      </c>
      <c r="N487" s="183">
        <f ca="1">SUMIFS(OFFSET('BPC Data'!$F:$F,0,Summary!N$2),'BPC Data'!$E:$E,Summary!$D487,'BPC Data'!$B:$B,Summary!$C487)</f>
        <v>0</v>
      </c>
      <c r="O487" s="19">
        <f ca="1">SUMIFS(OFFSET('BPC Data'!$F:$F,0,Summary!O$2),'BPC Data'!$E:$E,Summary!$D487,'BPC Data'!$B:$B,Summary!$C487)</f>
        <v>0</v>
      </c>
      <c r="P487" s="183">
        <f ca="1">SUMIFS(OFFSET('BPC Data'!$F:$F,0,Summary!P$2),'BPC Data'!$E:$E,Summary!$D487,'BPC Data'!$B:$B,Summary!$C487)</f>
        <v>0</v>
      </c>
      <c r="Q487" s="19">
        <f ca="1">SUMIFS(OFFSET('BPC Data'!$F:$F,0,Summary!Q$2),'BPC Data'!$E:$E,Summary!$D487,'BPC Data'!$B:$B,Summary!$C487)</f>
        <v>0</v>
      </c>
      <c r="R487" s="183">
        <f ca="1">SUMIFS(OFFSET('BPC Data'!$F:$F,0,Summary!R$2),'BPC Data'!$E:$E,Summary!$D487,'BPC Data'!$B:$B,Summary!$C487)</f>
        <v>0</v>
      </c>
      <c r="S487" s="187">
        <f t="shared" ca="1" si="157"/>
        <v>111699</v>
      </c>
      <c r="T487" s="181"/>
    </row>
    <row r="488" spans="1:20" s="17" customFormat="1" outlineLevel="1" x14ac:dyDescent="0.25">
      <c r="A488" s="17">
        <f t="shared" si="165"/>
        <v>44</v>
      </c>
      <c r="B488"/>
      <c r="C488" t="str">
        <f>$F482</f>
        <v>SHC at Tanbark Rehab &amp; Welllness Center</v>
      </c>
      <c r="D488" s="2" t="str">
        <f t="shared" si="159"/>
        <v>T_EBITDARM - EBITDARM</v>
      </c>
      <c r="E488"/>
      <c r="F488" s="24" t="str">
        <f>_xll.EVDES(D488)</f>
        <v>EBITDARM</v>
      </c>
      <c r="G488" s="19">
        <f ca="1">SUMIFS(OFFSET('BPC Data'!$F:$F,0,Summary!G$2),'BPC Data'!$E:$E,Summary!$D488,'BPC Data'!$B:$B,Summary!$C488)</f>
        <v>-122906</v>
      </c>
      <c r="H488" s="183">
        <f ca="1">SUMIFS(OFFSET('BPC Data'!$F:$F,0,Summary!H$2),'BPC Data'!$E:$E,Summary!$D488,'BPC Data'!$B:$B,Summary!$C488)</f>
        <v>38003</v>
      </c>
      <c r="I488" s="19">
        <f ca="1">SUMIFS(OFFSET('BPC Data'!$F:$F,0,Summary!I$2),'BPC Data'!$E:$E,Summary!$D488,'BPC Data'!$B:$B,Summary!$C488)</f>
        <v>-160674</v>
      </c>
      <c r="J488" s="183">
        <f ca="1">SUMIFS(OFFSET('BPC Data'!$F:$F,0,Summary!J$2),'BPC Data'!$E:$E,Summary!$D488,'BPC Data'!$B:$B,Summary!$C488)</f>
        <v>267517</v>
      </c>
      <c r="K488" s="19">
        <f ca="1">SUMIFS(OFFSET('BPC Data'!$F:$F,0,Summary!K$2),'BPC Data'!$E:$E,Summary!$D488,'BPC Data'!$B:$B,Summary!$C488)</f>
        <v>-49863</v>
      </c>
      <c r="L488" s="183">
        <f ca="1">SUMIFS(OFFSET('BPC Data'!$F:$F,0,Summary!L$2),'BPC Data'!$E:$E,Summary!$D488,'BPC Data'!$B:$B,Summary!$C488)</f>
        <v>-30146</v>
      </c>
      <c r="M488" s="19">
        <f ca="1">SUMIFS(OFFSET('BPC Data'!$F:$F,0,Summary!M$2),'BPC Data'!$E:$E,Summary!$D488,'BPC Data'!$B:$B,Summary!$C488)</f>
        <v>-5800</v>
      </c>
      <c r="N488" s="183">
        <f ca="1">SUMIFS(OFFSET('BPC Data'!$F:$F,0,Summary!N$2),'BPC Data'!$E:$E,Summary!$D488,'BPC Data'!$B:$B,Summary!$C488)</f>
        <v>10456</v>
      </c>
      <c r="O488" s="19">
        <f ca="1">SUMIFS(OFFSET('BPC Data'!$F:$F,0,Summary!O$2),'BPC Data'!$E:$E,Summary!$D488,'BPC Data'!$B:$B,Summary!$C488)</f>
        <v>-47479</v>
      </c>
      <c r="P488" s="183">
        <f ca="1">SUMIFS(OFFSET('BPC Data'!$F:$F,0,Summary!P$2),'BPC Data'!$E:$E,Summary!$D488,'BPC Data'!$B:$B,Summary!$C488)</f>
        <v>15970</v>
      </c>
      <c r="Q488" s="19">
        <f ca="1">SUMIFS(OFFSET('BPC Data'!$F:$F,0,Summary!Q$2),'BPC Data'!$E:$E,Summary!$D488,'BPC Data'!$B:$B,Summary!$C488)</f>
        <v>46762</v>
      </c>
      <c r="R488" s="183">
        <f ca="1">SUMIFS(OFFSET('BPC Data'!$F:$F,0,Summary!R$2),'BPC Data'!$E:$E,Summary!$D488,'BPC Data'!$B:$B,Summary!$C488)</f>
        <v>-100633</v>
      </c>
      <c r="S488" s="187">
        <f t="shared" ca="1" si="157"/>
        <v>-138793</v>
      </c>
      <c r="T488" s="181"/>
    </row>
    <row r="489" spans="1:20" s="17" customFormat="1" outlineLevel="1" x14ac:dyDescent="0.25">
      <c r="A489" s="17">
        <f t="shared" si="165"/>
        <v>44</v>
      </c>
      <c r="B489"/>
      <c r="C489" t="str">
        <f>$F482</f>
        <v>SHC at Tanbark Rehab &amp; Welllness Center</v>
      </c>
      <c r="D489" s="2" t="str">
        <f t="shared" si="159"/>
        <v>T_MGMT_FEE - Tenant Management Fee - Actual</v>
      </c>
      <c r="E489"/>
      <c r="F489" s="24" t="str">
        <f>_xll.EVDES(D489)</f>
        <v>Tenant Management Fee - Actual</v>
      </c>
      <c r="G489" s="19">
        <f ca="1">SUMIFS(OFFSET('BPC Data'!$F:$F,0,Summary!G$2),'BPC Data'!$E:$E,Summary!$D489,'BPC Data'!$B:$B,Summary!$C489)</f>
        <v>17656</v>
      </c>
      <c r="H489" s="183">
        <f ca="1">SUMIFS(OFFSET('BPC Data'!$F:$F,0,Summary!H$2),'BPC Data'!$E:$E,Summary!$D489,'BPC Data'!$B:$B,Summary!$C489)</f>
        <v>29242</v>
      </c>
      <c r="I489" s="19">
        <f ca="1">SUMIFS(OFFSET('BPC Data'!$F:$F,0,Summary!I$2),'BPC Data'!$E:$E,Summary!$D489,'BPC Data'!$B:$B,Summary!$C489)</f>
        <v>16711</v>
      </c>
      <c r="J489" s="183">
        <f ca="1">SUMIFS(OFFSET('BPC Data'!$F:$F,0,Summary!J$2),'BPC Data'!$E:$E,Summary!$D489,'BPC Data'!$B:$B,Summary!$C489)</f>
        <v>53486</v>
      </c>
      <c r="K489" s="19">
        <f ca="1">SUMIFS(OFFSET('BPC Data'!$F:$F,0,Summary!K$2),'BPC Data'!$E:$E,Summary!$D489,'BPC Data'!$B:$B,Summary!$C489)</f>
        <v>25378</v>
      </c>
      <c r="L489" s="183">
        <f ca="1">SUMIFS(OFFSET('BPC Data'!$F:$F,0,Summary!L$2),'BPC Data'!$E:$E,Summary!$D489,'BPC Data'!$B:$B,Summary!$C489)</f>
        <v>22227</v>
      </c>
      <c r="M489" s="19">
        <f ca="1">SUMIFS(OFFSET('BPC Data'!$F:$F,0,Summary!M$2),'BPC Data'!$E:$E,Summary!$D489,'BPC Data'!$B:$B,Summary!$C489)</f>
        <v>26381</v>
      </c>
      <c r="N489" s="183">
        <f ca="1">SUMIFS(OFFSET('BPC Data'!$F:$F,0,Summary!N$2),'BPC Data'!$E:$E,Summary!$D489,'BPC Data'!$B:$B,Summary!$C489)</f>
        <v>26560</v>
      </c>
      <c r="O489" s="19">
        <f ca="1">SUMIFS(OFFSET('BPC Data'!$F:$F,0,Summary!O$2),'BPC Data'!$E:$E,Summary!$D489,'BPC Data'!$B:$B,Summary!$C489)</f>
        <v>25568</v>
      </c>
      <c r="P489" s="183">
        <f ca="1">SUMIFS(OFFSET('BPC Data'!$F:$F,0,Summary!P$2),'BPC Data'!$E:$E,Summary!$D489,'BPC Data'!$B:$B,Summary!$C489)</f>
        <v>24500</v>
      </c>
      <c r="Q489" s="19">
        <f ca="1">SUMIFS(OFFSET('BPC Data'!$F:$F,0,Summary!Q$2),'BPC Data'!$E:$E,Summary!$D489,'BPC Data'!$B:$B,Summary!$C489)</f>
        <v>26293</v>
      </c>
      <c r="R489" s="183">
        <f ca="1">SUMIFS(OFFSET('BPC Data'!$F:$F,0,Summary!R$2),'BPC Data'!$E:$E,Summary!$D489,'BPC Data'!$B:$B,Summary!$C489)</f>
        <v>24107</v>
      </c>
      <c r="S489" s="187">
        <f t="shared" ca="1" si="157"/>
        <v>318109</v>
      </c>
      <c r="T489" s="181"/>
    </row>
    <row r="490" spans="1:20" s="17" customFormat="1" outlineLevel="1" x14ac:dyDescent="0.25">
      <c r="A490" s="17">
        <f t="shared" si="165"/>
        <v>44</v>
      </c>
      <c r="B490"/>
      <c r="C490" t="str">
        <f>$F482</f>
        <v>SHC at Tanbark Rehab &amp; Welllness Center</v>
      </c>
      <c r="D490" s="1" t="str">
        <f t="shared" si="159"/>
        <v>T_EBITDAR - EBITDAR</v>
      </c>
      <c r="E490"/>
      <c r="F490" s="24" t="str">
        <f>_xll.EVDES(D490)</f>
        <v>EBITDAR</v>
      </c>
      <c r="G490" s="19">
        <f ca="1">SUMIFS(OFFSET('BPC Data'!$F:$F,0,Summary!G$2),'BPC Data'!$E:$E,Summary!$D490,'BPC Data'!$B:$B,Summary!$C490)</f>
        <v>-140562</v>
      </c>
      <c r="H490" s="183">
        <f ca="1">SUMIFS(OFFSET('BPC Data'!$F:$F,0,Summary!H$2),'BPC Data'!$E:$E,Summary!$D490,'BPC Data'!$B:$B,Summary!$C490)</f>
        <v>8761</v>
      </c>
      <c r="I490" s="19">
        <f ca="1">SUMIFS(OFFSET('BPC Data'!$F:$F,0,Summary!I$2),'BPC Data'!$E:$E,Summary!$D490,'BPC Data'!$B:$B,Summary!$C490)</f>
        <v>-177385</v>
      </c>
      <c r="J490" s="183">
        <f ca="1">SUMIFS(OFFSET('BPC Data'!$F:$F,0,Summary!J$2),'BPC Data'!$E:$E,Summary!$D490,'BPC Data'!$B:$B,Summary!$C490)</f>
        <v>214031</v>
      </c>
      <c r="K490" s="19">
        <f ca="1">SUMIFS(OFFSET('BPC Data'!$F:$F,0,Summary!K$2),'BPC Data'!$E:$E,Summary!$D490,'BPC Data'!$B:$B,Summary!$C490)</f>
        <v>-75241</v>
      </c>
      <c r="L490" s="183">
        <f ca="1">SUMIFS(OFFSET('BPC Data'!$F:$F,0,Summary!L$2),'BPC Data'!$E:$E,Summary!$D490,'BPC Data'!$B:$B,Summary!$C490)</f>
        <v>-52373</v>
      </c>
      <c r="M490" s="19">
        <f ca="1">SUMIFS(OFFSET('BPC Data'!$F:$F,0,Summary!M$2),'BPC Data'!$E:$E,Summary!$D490,'BPC Data'!$B:$B,Summary!$C490)</f>
        <v>-32181</v>
      </c>
      <c r="N490" s="183">
        <f ca="1">SUMIFS(OFFSET('BPC Data'!$F:$F,0,Summary!N$2),'BPC Data'!$E:$E,Summary!$D490,'BPC Data'!$B:$B,Summary!$C490)</f>
        <v>-16104</v>
      </c>
      <c r="O490" s="19">
        <f ca="1">SUMIFS(OFFSET('BPC Data'!$F:$F,0,Summary!O$2),'BPC Data'!$E:$E,Summary!$D490,'BPC Data'!$B:$B,Summary!$C490)</f>
        <v>-73047</v>
      </c>
      <c r="P490" s="183">
        <f ca="1">SUMIFS(OFFSET('BPC Data'!$F:$F,0,Summary!P$2),'BPC Data'!$E:$E,Summary!$D490,'BPC Data'!$B:$B,Summary!$C490)</f>
        <v>-8530</v>
      </c>
      <c r="Q490" s="19">
        <f ca="1">SUMIFS(OFFSET('BPC Data'!$F:$F,0,Summary!Q$2),'BPC Data'!$E:$E,Summary!$D490,'BPC Data'!$B:$B,Summary!$C490)</f>
        <v>20469</v>
      </c>
      <c r="R490" s="183">
        <f ca="1">SUMIFS(OFFSET('BPC Data'!$F:$F,0,Summary!R$2),'BPC Data'!$E:$E,Summary!$D490,'BPC Data'!$B:$B,Summary!$C490)</f>
        <v>-124740</v>
      </c>
      <c r="S490" s="187">
        <f t="shared" ca="1" si="157"/>
        <v>-456902</v>
      </c>
      <c r="T490" s="181"/>
    </row>
    <row r="491" spans="1:20" s="17" customFormat="1" outlineLevel="1" x14ac:dyDescent="0.25">
      <c r="A491" s="17">
        <f t="shared" si="165"/>
        <v>44</v>
      </c>
      <c r="B491"/>
      <c r="C491" t="str">
        <f>$F482</f>
        <v>SHC at Tanbark Rehab &amp; Welllness Center</v>
      </c>
      <c r="D491" s="1" t="str">
        <f t="shared" si="159"/>
        <v>T_RENT_EXP - Tenant Rent Expense</v>
      </c>
      <c r="E491"/>
      <c r="F491" s="24" t="str">
        <f>_xll.EVDES(D491)</f>
        <v>Tenant Rent Expense</v>
      </c>
      <c r="G491" s="19">
        <f ca="1">SUMIFS(OFFSET('BPC Data'!$F:$F,0,Summary!G$2),'BPC Data'!$E:$E,Summary!$D491,'BPC Data'!$B:$B,Summary!$C491)</f>
        <v>39304</v>
      </c>
      <c r="H491" s="183">
        <f ca="1">SUMIFS(OFFSET('BPC Data'!$F:$F,0,Summary!H$2),'BPC Data'!$E:$E,Summary!$D491,'BPC Data'!$B:$B,Summary!$C491)</f>
        <v>39304</v>
      </c>
      <c r="I491" s="19">
        <f ca="1">SUMIFS(OFFSET('BPC Data'!$F:$F,0,Summary!I$2),'BPC Data'!$E:$E,Summary!$D491,'BPC Data'!$B:$B,Summary!$C491)</f>
        <v>39304</v>
      </c>
      <c r="J491" s="183">
        <f ca="1">SUMIFS(OFFSET('BPC Data'!$F:$F,0,Summary!J$2),'BPC Data'!$E:$E,Summary!$D491,'BPC Data'!$B:$B,Summary!$C491)</f>
        <v>40287</v>
      </c>
      <c r="K491" s="19">
        <f ca="1">SUMIFS(OFFSET('BPC Data'!$F:$F,0,Summary!K$2),'BPC Data'!$E:$E,Summary!$D491,'BPC Data'!$B:$B,Summary!$C491)</f>
        <v>40287</v>
      </c>
      <c r="L491" s="183">
        <f ca="1">SUMIFS(OFFSET('BPC Data'!$F:$F,0,Summary!L$2),'BPC Data'!$E:$E,Summary!$D491,'BPC Data'!$B:$B,Summary!$C491)</f>
        <v>40287</v>
      </c>
      <c r="M491" s="19">
        <f ca="1">SUMIFS(OFFSET('BPC Data'!$F:$F,0,Summary!M$2),'BPC Data'!$E:$E,Summary!$D491,'BPC Data'!$B:$B,Summary!$C491)</f>
        <v>40287</v>
      </c>
      <c r="N491" s="183">
        <f ca="1">SUMIFS(OFFSET('BPC Data'!$F:$F,0,Summary!N$2),'BPC Data'!$E:$E,Summary!$D491,'BPC Data'!$B:$B,Summary!$C491)</f>
        <v>40287</v>
      </c>
      <c r="O491" s="19">
        <f ca="1">SUMIFS(OFFSET('BPC Data'!$F:$F,0,Summary!O$2),'BPC Data'!$E:$E,Summary!$D491,'BPC Data'!$B:$B,Summary!$C491)</f>
        <v>40287</v>
      </c>
      <c r="P491" s="183">
        <f ca="1">SUMIFS(OFFSET('BPC Data'!$F:$F,0,Summary!P$2),'BPC Data'!$E:$E,Summary!$D491,'BPC Data'!$B:$B,Summary!$C491)</f>
        <v>40287</v>
      </c>
      <c r="Q491" s="19">
        <f ca="1">SUMIFS(OFFSET('BPC Data'!$F:$F,0,Summary!Q$2),'BPC Data'!$E:$E,Summary!$D491,'BPC Data'!$B:$B,Summary!$C491)</f>
        <v>40287</v>
      </c>
      <c r="R491" s="183">
        <f ca="1">SUMIFS(OFFSET('BPC Data'!$F:$F,0,Summary!R$2),'BPC Data'!$E:$E,Summary!$D491,'BPC Data'!$B:$B,Summary!$C491)</f>
        <v>40287</v>
      </c>
      <c r="S491" s="187">
        <f t="shared" ca="1" si="157"/>
        <v>480495</v>
      </c>
      <c r="T491" s="181"/>
    </row>
    <row r="492" spans="1:20" s="17" customFormat="1" outlineLevel="1" x14ac:dyDescent="0.25">
      <c r="A492" s="17">
        <f t="shared" si="165"/>
        <v>44</v>
      </c>
      <c r="B492"/>
      <c r="C492"/>
      <c r="D492" s="1" t="str">
        <f t="shared" si="159"/>
        <v>x</v>
      </c>
      <c r="E492"/>
      <c r="F492" s="24" t="s">
        <v>0</v>
      </c>
      <c r="G492" s="12">
        <f ca="1">G490/G491</f>
        <v>-3.5762772236922449</v>
      </c>
      <c r="H492" s="184">
        <f t="shared" ref="H492:I492" ca="1" si="166">H490/H491</f>
        <v>0.22290352127009974</v>
      </c>
      <c r="I492" s="12">
        <f t="shared" ca="1" si="166"/>
        <v>-4.5131538774679418</v>
      </c>
      <c r="J492" s="184">
        <f t="shared" ref="J492:R492" ca="1" si="167">J490/J491</f>
        <v>5.3126566882617219</v>
      </c>
      <c r="K492" s="12">
        <f t="shared" ca="1" si="167"/>
        <v>-1.8676247921165636</v>
      </c>
      <c r="L492" s="184">
        <f t="shared" ca="1" si="167"/>
        <v>-1.2999975178097154</v>
      </c>
      <c r="M492" s="12">
        <f t="shared" ca="1" si="167"/>
        <v>-0.79879365552163228</v>
      </c>
      <c r="N492" s="184">
        <f t="shared" ca="1" si="167"/>
        <v>-0.39973192344925162</v>
      </c>
      <c r="O492" s="12">
        <f t="shared" ca="1" si="167"/>
        <v>-1.8131655372700872</v>
      </c>
      <c r="P492" s="184">
        <f t="shared" ca="1" si="167"/>
        <v>-0.21173083128552636</v>
      </c>
      <c r="Q492" s="12">
        <f t="shared" ca="1" si="167"/>
        <v>0.50807952937672207</v>
      </c>
      <c r="R492" s="184">
        <f t="shared" ca="1" si="167"/>
        <v>-3.0962841611437932</v>
      </c>
      <c r="S492" s="187">
        <f t="shared" ca="1" si="157"/>
        <v>-11.533119780848214</v>
      </c>
      <c r="T492" s="181"/>
    </row>
    <row r="493" spans="1:20" s="17" customFormat="1" outlineLevel="1" x14ac:dyDescent="0.25">
      <c r="A493" s="17">
        <f>IF(AND(D493&lt;&gt;"",C493=""),A492+1,A492)</f>
        <v>45</v>
      </c>
      <c r="B493" s="5"/>
      <c r="C493" s="5"/>
      <c r="D493" s="5" t="str">
        <f t="shared" si="159"/>
        <v>x</v>
      </c>
      <c r="E493" s="5"/>
      <c r="F493" s="23" t="str">
        <f>INDEX(PropertyList!$D:$D,MATCH(Summary!$A493,PropertyList!$C:$C,0))</f>
        <v>SHC at Summit Manor Rehab &amp; Wellness Center</v>
      </c>
      <c r="G493" s="11"/>
      <c r="H493" s="182"/>
      <c r="I493" s="11"/>
      <c r="J493" s="182"/>
      <c r="K493" s="11"/>
      <c r="L493" s="182"/>
      <c r="M493" s="11"/>
      <c r="N493" s="182"/>
      <c r="O493" s="11"/>
      <c r="P493" s="182"/>
      <c r="Q493" s="11"/>
      <c r="R493" s="182"/>
      <c r="S493" s="187">
        <f t="shared" si="157"/>
        <v>0</v>
      </c>
      <c r="T493" s="181"/>
    </row>
    <row r="494" spans="1:20" s="17" customFormat="1" outlineLevel="1" x14ac:dyDescent="0.25">
      <c r="A494" s="17">
        <f>IF(AND(F494&lt;&gt;"",D494=""),A493+1,A493)</f>
        <v>45</v>
      </c>
      <c r="C494" t="str">
        <f>$F493</f>
        <v>SHC at Summit Manor Rehab &amp; Wellness Center</v>
      </c>
      <c r="D494" s="3" t="str">
        <f t="shared" si="159"/>
        <v>PAY_PAT_DAYS - Total Payor Patient Days</v>
      </c>
      <c r="F494" s="24" t="str">
        <f>_xll.EVDES(D494)</f>
        <v>Total Payor Patient Days</v>
      </c>
      <c r="G494" s="19">
        <f ca="1">SUMIFS(OFFSET('BPC Data'!$F:$F,0,Summary!G$2),'BPC Data'!$E:$E,Summary!$D494,'BPC Data'!$B:$B,Summary!$C494)</f>
        <v>2025</v>
      </c>
      <c r="H494" s="183">
        <f ca="1">SUMIFS(OFFSET('BPC Data'!$F:$F,0,Summary!H$2),'BPC Data'!$E:$E,Summary!$D494,'BPC Data'!$B:$B,Summary!$C494)</f>
        <v>2129</v>
      </c>
      <c r="I494" s="19">
        <f ca="1">SUMIFS(OFFSET('BPC Data'!$F:$F,0,Summary!I$2),'BPC Data'!$E:$E,Summary!$D494,'BPC Data'!$B:$B,Summary!$C494)</f>
        <v>1914</v>
      </c>
      <c r="J494" s="183">
        <f ca="1">SUMIFS(OFFSET('BPC Data'!$F:$F,0,Summary!J$2),'BPC Data'!$E:$E,Summary!$D494,'BPC Data'!$B:$B,Summary!$C494)</f>
        <v>1772</v>
      </c>
      <c r="K494" s="19">
        <f ca="1">SUMIFS(OFFSET('BPC Data'!$F:$F,0,Summary!K$2),'BPC Data'!$E:$E,Summary!$D494,'BPC Data'!$B:$B,Summary!$C494)</f>
        <v>1880</v>
      </c>
      <c r="L494" s="183">
        <f ca="1">SUMIFS(OFFSET('BPC Data'!$F:$F,0,Summary!L$2),'BPC Data'!$E:$E,Summary!$D494,'BPC Data'!$B:$B,Summary!$C494)</f>
        <v>1792</v>
      </c>
      <c r="M494" s="19">
        <f ca="1">SUMIFS(OFFSET('BPC Data'!$F:$F,0,Summary!M$2),'BPC Data'!$E:$E,Summary!$D494,'BPC Data'!$B:$B,Summary!$C494)</f>
        <v>2062</v>
      </c>
      <c r="N494" s="183">
        <f ca="1">SUMIFS(OFFSET('BPC Data'!$F:$F,0,Summary!N$2),'BPC Data'!$E:$E,Summary!$D494,'BPC Data'!$B:$B,Summary!$C494)</f>
        <v>2001</v>
      </c>
      <c r="O494" s="19">
        <f ca="1">SUMIFS(OFFSET('BPC Data'!$F:$F,0,Summary!O$2),'BPC Data'!$E:$E,Summary!$D494,'BPC Data'!$B:$B,Summary!$C494)</f>
        <v>2019</v>
      </c>
      <c r="P494" s="183">
        <f ca="1">SUMIFS(OFFSET('BPC Data'!$F:$F,0,Summary!P$2),'BPC Data'!$E:$E,Summary!$D494,'BPC Data'!$B:$B,Summary!$C494)</f>
        <v>2068</v>
      </c>
      <c r="Q494" s="19">
        <f ca="1">SUMIFS(OFFSET('BPC Data'!$F:$F,0,Summary!Q$2),'BPC Data'!$E:$E,Summary!$D494,'BPC Data'!$B:$B,Summary!$C494)</f>
        <v>2240</v>
      </c>
      <c r="R494" s="183">
        <f ca="1">SUMIFS(OFFSET('BPC Data'!$F:$F,0,Summary!R$2),'BPC Data'!$E:$E,Summary!$D494,'BPC Data'!$B:$B,Summary!$C494)</f>
        <v>2253</v>
      </c>
      <c r="S494" s="187">
        <f t="shared" ca="1" si="157"/>
        <v>24155</v>
      </c>
      <c r="T494" s="181"/>
    </row>
    <row r="495" spans="1:20" s="17" customFormat="1" outlineLevel="1" x14ac:dyDescent="0.25">
      <c r="A495" s="17">
        <f t="shared" ref="A495:A503" si="168">IF(AND(F495&lt;&gt;"",D495=""),A494+1,A494)</f>
        <v>45</v>
      </c>
      <c r="C495" t="str">
        <f>$F493</f>
        <v>SHC at Summit Manor Rehab &amp; Wellness Center</v>
      </c>
      <c r="D495" s="3" t="str">
        <f t="shared" si="159"/>
        <v>A_BEDS_TOTAL - Total Available Beds</v>
      </c>
      <c r="F495" s="24" t="str">
        <f>_xll.EVDES(D495)</f>
        <v>Total Available Beds</v>
      </c>
      <c r="G495" s="19">
        <f ca="1">SUMIFS(OFFSET('BPC Data'!$F:$F,0,Summary!G$2),'BPC Data'!$E:$E,Summary!$D495,'BPC Data'!$B:$B,Summary!$C495)</f>
        <v>104</v>
      </c>
      <c r="H495" s="183">
        <f ca="1">SUMIFS(OFFSET('BPC Data'!$F:$F,0,Summary!H$2),'BPC Data'!$E:$E,Summary!$D495,'BPC Data'!$B:$B,Summary!$C495)</f>
        <v>104</v>
      </c>
      <c r="I495" s="19">
        <f ca="1">SUMIFS(OFFSET('BPC Data'!$F:$F,0,Summary!I$2),'BPC Data'!$E:$E,Summary!$D495,'BPC Data'!$B:$B,Summary!$C495)</f>
        <v>104</v>
      </c>
      <c r="J495" s="183">
        <f ca="1">SUMIFS(OFFSET('BPC Data'!$F:$F,0,Summary!J$2),'BPC Data'!$E:$E,Summary!$D495,'BPC Data'!$B:$B,Summary!$C495)</f>
        <v>104</v>
      </c>
      <c r="K495" s="19">
        <f ca="1">SUMIFS(OFFSET('BPC Data'!$F:$F,0,Summary!K$2),'BPC Data'!$E:$E,Summary!$D495,'BPC Data'!$B:$B,Summary!$C495)</f>
        <v>104</v>
      </c>
      <c r="L495" s="183">
        <f ca="1">SUMIFS(OFFSET('BPC Data'!$F:$F,0,Summary!L$2),'BPC Data'!$E:$E,Summary!$D495,'BPC Data'!$B:$B,Summary!$C495)</f>
        <v>104</v>
      </c>
      <c r="M495" s="19">
        <f ca="1">SUMIFS(OFFSET('BPC Data'!$F:$F,0,Summary!M$2),'BPC Data'!$E:$E,Summary!$D495,'BPC Data'!$B:$B,Summary!$C495)</f>
        <v>104</v>
      </c>
      <c r="N495" s="183">
        <f ca="1">SUMIFS(OFFSET('BPC Data'!$F:$F,0,Summary!N$2),'BPC Data'!$E:$E,Summary!$D495,'BPC Data'!$B:$B,Summary!$C495)</f>
        <v>104</v>
      </c>
      <c r="O495" s="19">
        <f ca="1">SUMIFS(OFFSET('BPC Data'!$F:$F,0,Summary!O$2),'BPC Data'!$E:$E,Summary!$D495,'BPC Data'!$B:$B,Summary!$C495)</f>
        <v>104</v>
      </c>
      <c r="P495" s="183">
        <f ca="1">SUMIFS(OFFSET('BPC Data'!$F:$F,0,Summary!P$2),'BPC Data'!$E:$E,Summary!$D495,'BPC Data'!$B:$B,Summary!$C495)</f>
        <v>104</v>
      </c>
      <c r="Q495" s="19">
        <f ca="1">SUMIFS(OFFSET('BPC Data'!$F:$F,0,Summary!Q$2),'BPC Data'!$E:$E,Summary!$D495,'BPC Data'!$B:$B,Summary!$C495)</f>
        <v>104</v>
      </c>
      <c r="R495" s="183">
        <f ca="1">SUMIFS(OFFSET('BPC Data'!$F:$F,0,Summary!R$2),'BPC Data'!$E:$E,Summary!$D495,'BPC Data'!$B:$B,Summary!$C495)</f>
        <v>104</v>
      </c>
      <c r="S495" s="187">
        <f ca="1">R495</f>
        <v>104</v>
      </c>
      <c r="T495" s="181"/>
    </row>
    <row r="496" spans="1:20" s="17" customFormat="1" outlineLevel="1" x14ac:dyDescent="0.25">
      <c r="A496" s="17">
        <f t="shared" si="168"/>
        <v>45</v>
      </c>
      <c r="B496"/>
      <c r="C496" t="str">
        <f>$F493</f>
        <v>SHC at Summit Manor Rehab &amp; Wellness Center</v>
      </c>
      <c r="D496" s="3" t="str">
        <f t="shared" si="159"/>
        <v>T_REVENUES - Total Tenant Revenues</v>
      </c>
      <c r="E496"/>
      <c r="F496" s="24" t="str">
        <f>_xll.EVDES(D496)</f>
        <v>Total Tenant Revenues</v>
      </c>
      <c r="G496" s="19">
        <f ca="1">SUMIFS(OFFSET('BPC Data'!$F:$F,0,Summary!G$2),'BPC Data'!$E:$E,Summary!$D496,'BPC Data'!$B:$B,Summary!$C496)</f>
        <v>611702</v>
      </c>
      <c r="H496" s="183">
        <f ca="1">SUMIFS(OFFSET('BPC Data'!$F:$F,0,Summary!H$2),'BPC Data'!$E:$E,Summary!$D496,'BPC Data'!$B:$B,Summary!$C496)</f>
        <v>550879</v>
      </c>
      <c r="I496" s="19">
        <f ca="1">SUMIFS(OFFSET('BPC Data'!$F:$F,0,Summary!I$2),'BPC Data'!$E:$E,Summary!$D496,'BPC Data'!$B:$B,Summary!$C496)</f>
        <v>502256</v>
      </c>
      <c r="J496" s="183">
        <f ca="1">SUMIFS(OFFSET('BPC Data'!$F:$F,0,Summary!J$2),'BPC Data'!$E:$E,Summary!$D496,'BPC Data'!$B:$B,Summary!$C496)</f>
        <v>1170067</v>
      </c>
      <c r="K496" s="19">
        <f ca="1">SUMIFS(OFFSET('BPC Data'!$F:$F,0,Summary!K$2),'BPC Data'!$E:$E,Summary!$D496,'BPC Data'!$B:$B,Summary!$C496)</f>
        <v>455476</v>
      </c>
      <c r="L496" s="183">
        <f ca="1">SUMIFS(OFFSET('BPC Data'!$F:$F,0,Summary!L$2),'BPC Data'!$E:$E,Summary!$D496,'BPC Data'!$B:$B,Summary!$C496)</f>
        <v>443520</v>
      </c>
      <c r="M496" s="19">
        <f ca="1">SUMIFS(OFFSET('BPC Data'!$F:$F,0,Summary!M$2),'BPC Data'!$E:$E,Summary!$D496,'BPC Data'!$B:$B,Summary!$C496)</f>
        <v>636602</v>
      </c>
      <c r="N496" s="183">
        <f ca="1">SUMIFS(OFFSET('BPC Data'!$F:$F,0,Summary!N$2),'BPC Data'!$E:$E,Summary!$D496,'BPC Data'!$B:$B,Summary!$C496)</f>
        <v>510255</v>
      </c>
      <c r="O496" s="19">
        <f ca="1">SUMIFS(OFFSET('BPC Data'!$F:$F,0,Summary!O$2),'BPC Data'!$E:$E,Summary!$D496,'BPC Data'!$B:$B,Summary!$C496)</f>
        <v>525909</v>
      </c>
      <c r="P496" s="183">
        <f ca="1">SUMIFS(OFFSET('BPC Data'!$F:$F,0,Summary!P$2),'BPC Data'!$E:$E,Summary!$D496,'BPC Data'!$B:$B,Summary!$C496)</f>
        <v>542946</v>
      </c>
      <c r="Q496" s="19">
        <f ca="1">SUMIFS(OFFSET('BPC Data'!$F:$F,0,Summary!Q$2),'BPC Data'!$E:$E,Summary!$D496,'BPC Data'!$B:$B,Summary!$C496)</f>
        <v>621719</v>
      </c>
      <c r="R496" s="183">
        <f ca="1">SUMIFS(OFFSET('BPC Data'!$F:$F,0,Summary!R$2),'BPC Data'!$E:$E,Summary!$D496,'BPC Data'!$B:$B,Summary!$C496)</f>
        <v>639438</v>
      </c>
      <c r="S496" s="187">
        <f t="shared" ca="1" si="157"/>
        <v>7210769</v>
      </c>
      <c r="T496" s="181"/>
    </row>
    <row r="497" spans="1:20" s="17" customFormat="1" outlineLevel="1" x14ac:dyDescent="0.25">
      <c r="A497" s="17">
        <f t="shared" si="168"/>
        <v>45</v>
      </c>
      <c r="B497"/>
      <c r="C497" t="str">
        <f>$F493</f>
        <v>SHC at Summit Manor Rehab &amp; Wellness Center</v>
      </c>
      <c r="D497" s="3" t="str">
        <f t="shared" si="159"/>
        <v>T_OPEX - Tenant Operating Expenses</v>
      </c>
      <c r="E497"/>
      <c r="F497" s="24" t="str">
        <f>_xll.EVDES(D497)</f>
        <v>Tenant Operating Expenses</v>
      </c>
      <c r="G497" s="19">
        <f ca="1">SUMIFS(OFFSET('BPC Data'!$F:$F,0,Summary!G$2),'BPC Data'!$E:$E,Summary!$D497,'BPC Data'!$B:$B,Summary!$C497)</f>
        <v>538603</v>
      </c>
      <c r="H497" s="183">
        <f ca="1">SUMIFS(OFFSET('BPC Data'!$F:$F,0,Summary!H$2),'BPC Data'!$E:$E,Summary!$D497,'BPC Data'!$B:$B,Summary!$C497)</f>
        <v>444329</v>
      </c>
      <c r="I497" s="19">
        <f ca="1">SUMIFS(OFFSET('BPC Data'!$F:$F,0,Summary!I$2),'BPC Data'!$E:$E,Summary!$D497,'BPC Data'!$B:$B,Summary!$C497)</f>
        <v>1327681</v>
      </c>
      <c r="J497" s="183">
        <f ca="1">SUMIFS(OFFSET('BPC Data'!$F:$F,0,Summary!J$2),'BPC Data'!$E:$E,Summary!$D497,'BPC Data'!$B:$B,Summary!$C497)</f>
        <v>781064</v>
      </c>
      <c r="K497" s="19">
        <f ca="1">SUMIFS(OFFSET('BPC Data'!$F:$F,0,Summary!K$2),'BPC Data'!$E:$E,Summary!$D497,'BPC Data'!$B:$B,Summary!$C497)</f>
        <v>466749</v>
      </c>
      <c r="L497" s="183">
        <f ca="1">SUMIFS(OFFSET('BPC Data'!$F:$F,0,Summary!L$2),'BPC Data'!$E:$E,Summary!$D497,'BPC Data'!$B:$B,Summary!$C497)</f>
        <v>338743</v>
      </c>
      <c r="M497" s="19">
        <f ca="1">SUMIFS(OFFSET('BPC Data'!$F:$F,0,Summary!M$2),'BPC Data'!$E:$E,Summary!$D497,'BPC Data'!$B:$B,Summary!$C497)</f>
        <v>465944</v>
      </c>
      <c r="N497" s="183">
        <f ca="1">SUMIFS(OFFSET('BPC Data'!$F:$F,0,Summary!N$2),'BPC Data'!$E:$E,Summary!$D497,'BPC Data'!$B:$B,Summary!$C497)</f>
        <v>501984</v>
      </c>
      <c r="O497" s="19">
        <f ca="1">SUMIFS(OFFSET('BPC Data'!$F:$F,0,Summary!O$2),'BPC Data'!$E:$E,Summary!$D497,'BPC Data'!$B:$B,Summary!$C497)</f>
        <v>536428</v>
      </c>
      <c r="P497" s="183">
        <f ca="1">SUMIFS(OFFSET('BPC Data'!$F:$F,0,Summary!P$2),'BPC Data'!$E:$E,Summary!$D497,'BPC Data'!$B:$B,Summary!$C497)</f>
        <v>440340</v>
      </c>
      <c r="Q497" s="19">
        <f ca="1">SUMIFS(OFFSET('BPC Data'!$F:$F,0,Summary!Q$2),'BPC Data'!$E:$E,Summary!$D497,'BPC Data'!$B:$B,Summary!$C497)</f>
        <v>672582</v>
      </c>
      <c r="R497" s="183">
        <f ca="1">SUMIFS(OFFSET('BPC Data'!$F:$F,0,Summary!R$2),'BPC Data'!$E:$E,Summary!$D497,'BPC Data'!$B:$B,Summary!$C497)</f>
        <v>545636</v>
      </c>
      <c r="S497" s="187">
        <f t="shared" ca="1" si="157"/>
        <v>7060083</v>
      </c>
      <c r="T497" s="181"/>
    </row>
    <row r="498" spans="1:20" s="17" customFormat="1" outlineLevel="1" x14ac:dyDescent="0.25">
      <c r="A498" s="17">
        <f t="shared" si="168"/>
        <v>45</v>
      </c>
      <c r="B498"/>
      <c r="C498" t="str">
        <f>$F493</f>
        <v>SHC at Summit Manor Rehab &amp; Wellness Center</v>
      </c>
      <c r="D498" s="3" t="str">
        <f t="shared" si="159"/>
        <v>T_BAD_DEBT - Tenant Bad Debt Expense</v>
      </c>
      <c r="E498"/>
      <c r="F498" s="24" t="str">
        <f>_xll.EVDES(D498)</f>
        <v>Tenant Bad Debt Expense</v>
      </c>
      <c r="G498" s="19">
        <f ca="1">SUMIFS(OFFSET('BPC Data'!$F:$F,0,Summary!G$2),'BPC Data'!$E:$E,Summary!$D498,'BPC Data'!$B:$B,Summary!$C498)</f>
        <v>15000</v>
      </c>
      <c r="H498" s="183">
        <f ca="1">SUMIFS(OFFSET('BPC Data'!$F:$F,0,Summary!H$2),'BPC Data'!$E:$E,Summary!$D498,'BPC Data'!$B:$B,Summary!$C498)</f>
        <v>13703</v>
      </c>
      <c r="I498" s="19">
        <f ca="1">SUMIFS(OFFSET('BPC Data'!$F:$F,0,Summary!I$2),'BPC Data'!$E:$E,Summary!$D498,'BPC Data'!$B:$B,Summary!$C498)</f>
        <v>-5000</v>
      </c>
      <c r="J498" s="183">
        <f ca="1">SUMIFS(OFFSET('BPC Data'!$F:$F,0,Summary!J$2),'BPC Data'!$E:$E,Summary!$D498,'BPC Data'!$B:$B,Summary!$C498)</f>
        <v>8590</v>
      </c>
      <c r="K498" s="19">
        <f ca="1">SUMIFS(OFFSET('BPC Data'!$F:$F,0,Summary!K$2),'BPC Data'!$E:$E,Summary!$D498,'BPC Data'!$B:$B,Summary!$C498)</f>
        <v>5000</v>
      </c>
      <c r="L498" s="183">
        <f ca="1">SUMIFS(OFFSET('BPC Data'!$F:$F,0,Summary!L$2),'BPC Data'!$E:$E,Summary!$D498,'BPC Data'!$B:$B,Summary!$C498)</f>
        <v>0</v>
      </c>
      <c r="M498" s="19">
        <f ca="1">SUMIFS(OFFSET('BPC Data'!$F:$F,0,Summary!M$2),'BPC Data'!$E:$E,Summary!$D498,'BPC Data'!$B:$B,Summary!$C498)</f>
        <v>0</v>
      </c>
      <c r="N498" s="183">
        <f ca="1">SUMIFS(OFFSET('BPC Data'!$F:$F,0,Summary!N$2),'BPC Data'!$E:$E,Summary!$D498,'BPC Data'!$B:$B,Summary!$C498)</f>
        <v>0</v>
      </c>
      <c r="O498" s="19">
        <f ca="1">SUMIFS(OFFSET('BPC Data'!$F:$F,0,Summary!O$2),'BPC Data'!$E:$E,Summary!$D498,'BPC Data'!$B:$B,Summary!$C498)</f>
        <v>0</v>
      </c>
      <c r="P498" s="183">
        <f ca="1">SUMIFS(OFFSET('BPC Data'!$F:$F,0,Summary!P$2),'BPC Data'!$E:$E,Summary!$D498,'BPC Data'!$B:$B,Summary!$C498)</f>
        <v>0</v>
      </c>
      <c r="Q498" s="19">
        <f ca="1">SUMIFS(OFFSET('BPC Data'!$F:$F,0,Summary!Q$2),'BPC Data'!$E:$E,Summary!$D498,'BPC Data'!$B:$B,Summary!$C498)</f>
        <v>0</v>
      </c>
      <c r="R498" s="183">
        <f ca="1">SUMIFS(OFFSET('BPC Data'!$F:$F,0,Summary!R$2),'BPC Data'!$E:$E,Summary!$D498,'BPC Data'!$B:$B,Summary!$C498)</f>
        <v>0</v>
      </c>
      <c r="S498" s="187">
        <f t="shared" ca="1" si="157"/>
        <v>37293</v>
      </c>
      <c r="T498" s="181"/>
    </row>
    <row r="499" spans="1:20" s="17" customFormat="1" outlineLevel="1" x14ac:dyDescent="0.25">
      <c r="A499" s="17">
        <f t="shared" si="168"/>
        <v>45</v>
      </c>
      <c r="B499"/>
      <c r="C499" t="str">
        <f>$F493</f>
        <v>SHC at Summit Manor Rehab &amp; Wellness Center</v>
      </c>
      <c r="D499" s="2" t="str">
        <f t="shared" si="159"/>
        <v>T_EBITDARM - EBITDARM</v>
      </c>
      <c r="E499"/>
      <c r="F499" s="24" t="str">
        <f>_xll.EVDES(D499)</f>
        <v>EBITDARM</v>
      </c>
      <c r="G499" s="19">
        <f ca="1">SUMIFS(OFFSET('BPC Data'!$F:$F,0,Summary!G$2),'BPC Data'!$E:$E,Summary!$D499,'BPC Data'!$B:$B,Summary!$C499)</f>
        <v>73099</v>
      </c>
      <c r="H499" s="183">
        <f ca="1">SUMIFS(OFFSET('BPC Data'!$F:$F,0,Summary!H$2),'BPC Data'!$E:$E,Summary!$D499,'BPC Data'!$B:$B,Summary!$C499)</f>
        <v>106550</v>
      </c>
      <c r="I499" s="19">
        <f ca="1">SUMIFS(OFFSET('BPC Data'!$F:$F,0,Summary!I$2),'BPC Data'!$E:$E,Summary!$D499,'BPC Data'!$B:$B,Summary!$C499)</f>
        <v>-825425</v>
      </c>
      <c r="J499" s="183">
        <f ca="1">SUMIFS(OFFSET('BPC Data'!$F:$F,0,Summary!J$2),'BPC Data'!$E:$E,Summary!$D499,'BPC Data'!$B:$B,Summary!$C499)</f>
        <v>389003</v>
      </c>
      <c r="K499" s="19">
        <f ca="1">SUMIFS(OFFSET('BPC Data'!$F:$F,0,Summary!K$2),'BPC Data'!$E:$E,Summary!$D499,'BPC Data'!$B:$B,Summary!$C499)</f>
        <v>-11273</v>
      </c>
      <c r="L499" s="183">
        <f ca="1">SUMIFS(OFFSET('BPC Data'!$F:$F,0,Summary!L$2),'BPC Data'!$E:$E,Summary!$D499,'BPC Data'!$B:$B,Summary!$C499)</f>
        <v>104777</v>
      </c>
      <c r="M499" s="19">
        <f ca="1">SUMIFS(OFFSET('BPC Data'!$F:$F,0,Summary!M$2),'BPC Data'!$E:$E,Summary!$D499,'BPC Data'!$B:$B,Summary!$C499)</f>
        <v>170658</v>
      </c>
      <c r="N499" s="183">
        <f ca="1">SUMIFS(OFFSET('BPC Data'!$F:$F,0,Summary!N$2),'BPC Data'!$E:$E,Summary!$D499,'BPC Data'!$B:$B,Summary!$C499)</f>
        <v>8271</v>
      </c>
      <c r="O499" s="19">
        <f ca="1">SUMIFS(OFFSET('BPC Data'!$F:$F,0,Summary!O$2),'BPC Data'!$E:$E,Summary!$D499,'BPC Data'!$B:$B,Summary!$C499)</f>
        <v>-10519</v>
      </c>
      <c r="P499" s="183">
        <f ca="1">SUMIFS(OFFSET('BPC Data'!$F:$F,0,Summary!P$2),'BPC Data'!$E:$E,Summary!$D499,'BPC Data'!$B:$B,Summary!$C499)</f>
        <v>102606</v>
      </c>
      <c r="Q499" s="19">
        <f ca="1">SUMIFS(OFFSET('BPC Data'!$F:$F,0,Summary!Q$2),'BPC Data'!$E:$E,Summary!$D499,'BPC Data'!$B:$B,Summary!$C499)</f>
        <v>-50863</v>
      </c>
      <c r="R499" s="183">
        <f ca="1">SUMIFS(OFFSET('BPC Data'!$F:$F,0,Summary!R$2),'BPC Data'!$E:$E,Summary!$D499,'BPC Data'!$B:$B,Summary!$C499)</f>
        <v>93802</v>
      </c>
      <c r="S499" s="187">
        <f t="shared" ca="1" si="157"/>
        <v>150686</v>
      </c>
      <c r="T499" s="181"/>
    </row>
    <row r="500" spans="1:20" s="17" customFormat="1" outlineLevel="1" x14ac:dyDescent="0.25">
      <c r="A500" s="17">
        <f t="shared" si="168"/>
        <v>45</v>
      </c>
      <c r="B500"/>
      <c r="C500" t="str">
        <f>$F493</f>
        <v>SHC at Summit Manor Rehab &amp; Wellness Center</v>
      </c>
      <c r="D500" s="2" t="str">
        <f t="shared" si="159"/>
        <v>T_MGMT_FEE - Tenant Management Fee - Actual</v>
      </c>
      <c r="E500"/>
      <c r="F500" s="24" t="str">
        <f>_xll.EVDES(D500)</f>
        <v>Tenant Management Fee - Actual</v>
      </c>
      <c r="G500" s="19">
        <f ca="1">SUMIFS(OFFSET('BPC Data'!$F:$F,0,Summary!G$2),'BPC Data'!$E:$E,Summary!$D500,'BPC Data'!$B:$B,Summary!$C500)</f>
        <v>30372</v>
      </c>
      <c r="H500" s="183">
        <f ca="1">SUMIFS(OFFSET('BPC Data'!$F:$F,0,Summary!H$2),'BPC Data'!$E:$E,Summary!$D500,'BPC Data'!$B:$B,Summary!$C500)</f>
        <v>27819</v>
      </c>
      <c r="I500" s="19">
        <f ca="1">SUMIFS(OFFSET('BPC Data'!$F:$F,0,Summary!I$2),'BPC Data'!$E:$E,Summary!$D500,'BPC Data'!$B:$B,Summary!$C500)</f>
        <v>25364</v>
      </c>
      <c r="J500" s="183">
        <f ca="1">SUMIFS(OFFSET('BPC Data'!$F:$F,0,Summary!J$2),'BPC Data'!$E:$E,Summary!$D500,'BPC Data'!$B:$B,Summary!$C500)</f>
        <v>71944</v>
      </c>
      <c r="K500" s="19">
        <f ca="1">SUMIFS(OFFSET('BPC Data'!$F:$F,0,Summary!K$2),'BPC Data'!$E:$E,Summary!$D500,'BPC Data'!$B:$B,Summary!$C500)</f>
        <v>23002</v>
      </c>
      <c r="L500" s="183">
        <f ca="1">SUMIFS(OFFSET('BPC Data'!$F:$F,0,Summary!L$2),'BPC Data'!$E:$E,Summary!$D500,'BPC Data'!$B:$B,Summary!$C500)</f>
        <v>22398</v>
      </c>
      <c r="M500" s="19">
        <f ca="1">SUMIFS(OFFSET('BPC Data'!$F:$F,0,Summary!M$2),'BPC Data'!$E:$E,Summary!$D500,'BPC Data'!$B:$B,Summary!$C500)</f>
        <v>32148</v>
      </c>
      <c r="N500" s="183">
        <f ca="1">SUMIFS(OFFSET('BPC Data'!$F:$F,0,Summary!N$2),'BPC Data'!$E:$E,Summary!$D500,'BPC Data'!$B:$B,Summary!$C500)</f>
        <v>25768</v>
      </c>
      <c r="O500" s="19">
        <f ca="1">SUMIFS(OFFSET('BPC Data'!$F:$F,0,Summary!O$2),'BPC Data'!$E:$E,Summary!$D500,'BPC Data'!$B:$B,Summary!$C500)</f>
        <v>26558</v>
      </c>
      <c r="P500" s="183">
        <f ca="1">SUMIFS(OFFSET('BPC Data'!$F:$F,0,Summary!P$2),'BPC Data'!$E:$E,Summary!$D500,'BPC Data'!$B:$B,Summary!$C500)</f>
        <v>27419</v>
      </c>
      <c r="Q500" s="19">
        <f ca="1">SUMIFS(OFFSET('BPC Data'!$F:$F,0,Summary!Q$2),'BPC Data'!$E:$E,Summary!$D500,'BPC Data'!$B:$B,Summary!$C500)</f>
        <v>31397</v>
      </c>
      <c r="R500" s="183">
        <f ca="1">SUMIFS(OFFSET('BPC Data'!$F:$F,0,Summary!R$2),'BPC Data'!$E:$E,Summary!$D500,'BPC Data'!$B:$B,Summary!$C500)</f>
        <v>32292</v>
      </c>
      <c r="S500" s="187">
        <f t="shared" ca="1" si="157"/>
        <v>376481</v>
      </c>
      <c r="T500" s="181"/>
    </row>
    <row r="501" spans="1:20" s="17" customFormat="1" outlineLevel="1" x14ac:dyDescent="0.25">
      <c r="A501" s="17">
        <f t="shared" si="168"/>
        <v>45</v>
      </c>
      <c r="B501"/>
      <c r="C501" t="str">
        <f>$F493</f>
        <v>SHC at Summit Manor Rehab &amp; Wellness Center</v>
      </c>
      <c r="D501" s="1" t="str">
        <f t="shared" si="159"/>
        <v>T_EBITDAR - EBITDAR</v>
      </c>
      <c r="E501"/>
      <c r="F501" s="24" t="str">
        <f>_xll.EVDES(D501)</f>
        <v>EBITDAR</v>
      </c>
      <c r="G501" s="19">
        <f ca="1">SUMIFS(OFFSET('BPC Data'!$F:$F,0,Summary!G$2),'BPC Data'!$E:$E,Summary!$D501,'BPC Data'!$B:$B,Summary!$C501)</f>
        <v>42727</v>
      </c>
      <c r="H501" s="183">
        <f ca="1">SUMIFS(OFFSET('BPC Data'!$F:$F,0,Summary!H$2),'BPC Data'!$E:$E,Summary!$D501,'BPC Data'!$B:$B,Summary!$C501)</f>
        <v>78731</v>
      </c>
      <c r="I501" s="19">
        <f ca="1">SUMIFS(OFFSET('BPC Data'!$F:$F,0,Summary!I$2),'BPC Data'!$E:$E,Summary!$D501,'BPC Data'!$B:$B,Summary!$C501)</f>
        <v>-850789</v>
      </c>
      <c r="J501" s="183">
        <f ca="1">SUMIFS(OFFSET('BPC Data'!$F:$F,0,Summary!J$2),'BPC Data'!$E:$E,Summary!$D501,'BPC Data'!$B:$B,Summary!$C501)</f>
        <v>317059</v>
      </c>
      <c r="K501" s="19">
        <f ca="1">SUMIFS(OFFSET('BPC Data'!$F:$F,0,Summary!K$2),'BPC Data'!$E:$E,Summary!$D501,'BPC Data'!$B:$B,Summary!$C501)</f>
        <v>-34275</v>
      </c>
      <c r="L501" s="183">
        <f ca="1">SUMIFS(OFFSET('BPC Data'!$F:$F,0,Summary!L$2),'BPC Data'!$E:$E,Summary!$D501,'BPC Data'!$B:$B,Summary!$C501)</f>
        <v>82379</v>
      </c>
      <c r="M501" s="19">
        <f ca="1">SUMIFS(OFFSET('BPC Data'!$F:$F,0,Summary!M$2),'BPC Data'!$E:$E,Summary!$D501,'BPC Data'!$B:$B,Summary!$C501)</f>
        <v>138510</v>
      </c>
      <c r="N501" s="183">
        <f ca="1">SUMIFS(OFFSET('BPC Data'!$F:$F,0,Summary!N$2),'BPC Data'!$E:$E,Summary!$D501,'BPC Data'!$B:$B,Summary!$C501)</f>
        <v>-17497</v>
      </c>
      <c r="O501" s="19">
        <f ca="1">SUMIFS(OFFSET('BPC Data'!$F:$F,0,Summary!O$2),'BPC Data'!$E:$E,Summary!$D501,'BPC Data'!$B:$B,Summary!$C501)</f>
        <v>-37077</v>
      </c>
      <c r="P501" s="183">
        <f ca="1">SUMIFS(OFFSET('BPC Data'!$F:$F,0,Summary!P$2),'BPC Data'!$E:$E,Summary!$D501,'BPC Data'!$B:$B,Summary!$C501)</f>
        <v>75187</v>
      </c>
      <c r="Q501" s="19">
        <f ca="1">SUMIFS(OFFSET('BPC Data'!$F:$F,0,Summary!Q$2),'BPC Data'!$E:$E,Summary!$D501,'BPC Data'!$B:$B,Summary!$C501)</f>
        <v>-82260</v>
      </c>
      <c r="R501" s="183">
        <f ca="1">SUMIFS(OFFSET('BPC Data'!$F:$F,0,Summary!R$2),'BPC Data'!$E:$E,Summary!$D501,'BPC Data'!$B:$B,Summary!$C501)</f>
        <v>61510</v>
      </c>
      <c r="S501" s="187">
        <f t="shared" ca="1" si="157"/>
        <v>-225795</v>
      </c>
      <c r="T501" s="181"/>
    </row>
    <row r="502" spans="1:20" s="17" customFormat="1" outlineLevel="1" x14ac:dyDescent="0.25">
      <c r="A502" s="17">
        <f t="shared" si="168"/>
        <v>45</v>
      </c>
      <c r="B502"/>
      <c r="C502" t="str">
        <f>$F493</f>
        <v>SHC at Summit Manor Rehab &amp; Wellness Center</v>
      </c>
      <c r="D502" s="1" t="str">
        <f t="shared" si="159"/>
        <v>T_RENT_EXP - Tenant Rent Expense</v>
      </c>
      <c r="E502"/>
      <c r="F502" s="24" t="str">
        <f>_xll.EVDES(D502)</f>
        <v>Tenant Rent Expense</v>
      </c>
      <c r="G502" s="19">
        <f ca="1">SUMIFS(OFFSET('BPC Data'!$F:$F,0,Summary!G$2),'BPC Data'!$E:$E,Summary!$D502,'BPC Data'!$B:$B,Summary!$C502)</f>
        <v>129497</v>
      </c>
      <c r="H502" s="183">
        <f ca="1">SUMIFS(OFFSET('BPC Data'!$F:$F,0,Summary!H$2),'BPC Data'!$E:$E,Summary!$D502,'BPC Data'!$B:$B,Summary!$C502)</f>
        <v>129497</v>
      </c>
      <c r="I502" s="19">
        <f ca="1">SUMIFS(OFFSET('BPC Data'!$F:$F,0,Summary!I$2),'BPC Data'!$E:$E,Summary!$D502,'BPC Data'!$B:$B,Summary!$C502)</f>
        <v>129497</v>
      </c>
      <c r="J502" s="183">
        <f ca="1">SUMIFS(OFFSET('BPC Data'!$F:$F,0,Summary!J$2),'BPC Data'!$E:$E,Summary!$D502,'BPC Data'!$B:$B,Summary!$C502)</f>
        <v>132734</v>
      </c>
      <c r="K502" s="19">
        <f ca="1">SUMIFS(OFFSET('BPC Data'!$F:$F,0,Summary!K$2),'BPC Data'!$E:$E,Summary!$D502,'BPC Data'!$B:$B,Summary!$C502)</f>
        <v>132734</v>
      </c>
      <c r="L502" s="183">
        <f ca="1">SUMIFS(OFFSET('BPC Data'!$F:$F,0,Summary!L$2),'BPC Data'!$E:$E,Summary!$D502,'BPC Data'!$B:$B,Summary!$C502)</f>
        <v>132734</v>
      </c>
      <c r="M502" s="19">
        <f ca="1">SUMIFS(OFFSET('BPC Data'!$F:$F,0,Summary!M$2),'BPC Data'!$E:$E,Summary!$D502,'BPC Data'!$B:$B,Summary!$C502)</f>
        <v>132734</v>
      </c>
      <c r="N502" s="183">
        <f ca="1">SUMIFS(OFFSET('BPC Data'!$F:$F,0,Summary!N$2),'BPC Data'!$E:$E,Summary!$D502,'BPC Data'!$B:$B,Summary!$C502)</f>
        <v>132734</v>
      </c>
      <c r="O502" s="19">
        <f ca="1">SUMIFS(OFFSET('BPC Data'!$F:$F,0,Summary!O$2),'BPC Data'!$E:$E,Summary!$D502,'BPC Data'!$B:$B,Summary!$C502)</f>
        <v>132734</v>
      </c>
      <c r="P502" s="183">
        <f ca="1">SUMIFS(OFFSET('BPC Data'!$F:$F,0,Summary!P$2),'BPC Data'!$E:$E,Summary!$D502,'BPC Data'!$B:$B,Summary!$C502)</f>
        <v>132734</v>
      </c>
      <c r="Q502" s="19">
        <f ca="1">SUMIFS(OFFSET('BPC Data'!$F:$F,0,Summary!Q$2),'BPC Data'!$E:$E,Summary!$D502,'BPC Data'!$B:$B,Summary!$C502)</f>
        <v>132734</v>
      </c>
      <c r="R502" s="183">
        <f ca="1">SUMIFS(OFFSET('BPC Data'!$F:$F,0,Summary!R$2),'BPC Data'!$E:$E,Summary!$D502,'BPC Data'!$B:$B,Summary!$C502)</f>
        <v>132734</v>
      </c>
      <c r="S502" s="187">
        <f t="shared" ca="1" si="157"/>
        <v>1583097</v>
      </c>
      <c r="T502" s="181"/>
    </row>
    <row r="503" spans="1:20" s="17" customFormat="1" outlineLevel="1" x14ac:dyDescent="0.25">
      <c r="A503" s="17">
        <f t="shared" si="168"/>
        <v>45</v>
      </c>
      <c r="B503"/>
      <c r="C503"/>
      <c r="D503" s="1" t="str">
        <f t="shared" si="159"/>
        <v>x</v>
      </c>
      <c r="E503"/>
      <c r="F503" s="24" t="s">
        <v>0</v>
      </c>
      <c r="G503" s="12">
        <f ca="1">G501/G502</f>
        <v>0.3299458674718333</v>
      </c>
      <c r="H503" s="184">
        <f t="shared" ref="H503:I503" ca="1" si="169">H501/H502</f>
        <v>0.60797547433531274</v>
      </c>
      <c r="I503" s="12">
        <f t="shared" ca="1" si="169"/>
        <v>-6.5699514274461954</v>
      </c>
      <c r="J503" s="184">
        <f t="shared" ref="J503:R503" ca="1" si="170">J501/J502</f>
        <v>2.3886796148688356</v>
      </c>
      <c r="K503" s="12">
        <f t="shared" ca="1" si="170"/>
        <v>-0.25822321334398118</v>
      </c>
      <c r="L503" s="184">
        <f t="shared" ca="1" si="170"/>
        <v>0.62063224192746391</v>
      </c>
      <c r="M503" s="12">
        <f t="shared" ca="1" si="170"/>
        <v>1.043515602633839</v>
      </c>
      <c r="N503" s="184">
        <f t="shared" ca="1" si="170"/>
        <v>-0.13182003103952267</v>
      </c>
      <c r="O503" s="12">
        <f t="shared" ca="1" si="170"/>
        <v>-0.27933310229481517</v>
      </c>
      <c r="P503" s="184">
        <f t="shared" ca="1" si="170"/>
        <v>0.56644868684737892</v>
      </c>
      <c r="Q503" s="12">
        <f t="shared" ca="1" si="170"/>
        <v>-0.61973571202555489</v>
      </c>
      <c r="R503" s="184">
        <f t="shared" ca="1" si="170"/>
        <v>0.46340801904561002</v>
      </c>
      <c r="S503" s="187">
        <f t="shared" ca="1" si="157"/>
        <v>-1.8384579790197957</v>
      </c>
      <c r="T503" s="181"/>
    </row>
    <row r="504" spans="1:20" s="17" customFormat="1" outlineLevel="1" x14ac:dyDescent="0.25">
      <c r="A504" s="17">
        <f>IF(AND(D504&lt;&gt;"",C504=""),A503+1,A503)</f>
        <v>46</v>
      </c>
      <c r="B504" s="5"/>
      <c r="C504" s="5"/>
      <c r="D504" s="5" t="str">
        <f t="shared" si="159"/>
        <v>x</v>
      </c>
      <c r="E504" s="5"/>
      <c r="F504" s="23" t="str">
        <f>INDEX(PropertyList!$D:$D,MATCH(Summary!$A504,PropertyList!$C:$C,0))</f>
        <v>Meadowview Health &amp; Rehabilitation Center</v>
      </c>
      <c r="G504" s="11"/>
      <c r="H504" s="182"/>
      <c r="I504" s="11"/>
      <c r="J504" s="182"/>
      <c r="K504" s="11"/>
      <c r="L504" s="182"/>
      <c r="M504" s="11"/>
      <c r="N504" s="182"/>
      <c r="O504" s="11"/>
      <c r="P504" s="182"/>
      <c r="Q504" s="11"/>
      <c r="R504" s="182"/>
      <c r="S504" s="187">
        <f t="shared" si="157"/>
        <v>0</v>
      </c>
      <c r="T504" s="181"/>
    </row>
    <row r="505" spans="1:20" s="17" customFormat="1" outlineLevel="1" x14ac:dyDescent="0.25">
      <c r="A505" s="17">
        <f>IF(AND(F505&lt;&gt;"",D505=""),A504+1,A504)</f>
        <v>46</v>
      </c>
      <c r="C505" t="str">
        <f>$F504</f>
        <v>Meadowview Health &amp; Rehabilitation Center</v>
      </c>
      <c r="D505" s="3" t="str">
        <f t="shared" si="159"/>
        <v>PAY_PAT_DAYS - Total Payor Patient Days</v>
      </c>
      <c r="F505" s="24" t="str">
        <f>_xll.EVDES(D505)</f>
        <v>Total Payor Patient Days</v>
      </c>
      <c r="G505" s="19">
        <f ca="1">SUMIFS(OFFSET('BPC Data'!$F:$F,0,Summary!G$2),'BPC Data'!$E:$E,Summary!$D505,'BPC Data'!$B:$B,Summary!$C505)</f>
        <v>0</v>
      </c>
      <c r="H505" s="183">
        <f ca="1">SUMIFS(OFFSET('BPC Data'!$F:$F,0,Summary!H$2),'BPC Data'!$E:$E,Summary!$D505,'BPC Data'!$B:$B,Summary!$C505)</f>
        <v>0</v>
      </c>
      <c r="I505" s="19">
        <f ca="1">SUMIFS(OFFSET('BPC Data'!$F:$F,0,Summary!I$2),'BPC Data'!$E:$E,Summary!$D505,'BPC Data'!$B:$B,Summary!$C505)</f>
        <v>0</v>
      </c>
      <c r="J505" s="183">
        <f ca="1">SUMIFS(OFFSET('BPC Data'!$F:$F,0,Summary!J$2),'BPC Data'!$E:$E,Summary!$D505,'BPC Data'!$B:$B,Summary!$C505)</f>
        <v>0</v>
      </c>
      <c r="K505" s="19">
        <f ca="1">SUMIFS(OFFSET('BPC Data'!$F:$F,0,Summary!K$2),'BPC Data'!$E:$E,Summary!$D505,'BPC Data'!$B:$B,Summary!$C505)</f>
        <v>0</v>
      </c>
      <c r="L505" s="183">
        <f ca="1">SUMIFS(OFFSET('BPC Data'!$F:$F,0,Summary!L$2),'BPC Data'!$E:$E,Summary!$D505,'BPC Data'!$B:$B,Summary!$C505)</f>
        <v>0</v>
      </c>
      <c r="M505" s="19">
        <f ca="1">SUMIFS(OFFSET('BPC Data'!$F:$F,0,Summary!M$2),'BPC Data'!$E:$E,Summary!$D505,'BPC Data'!$B:$B,Summary!$C505)</f>
        <v>0</v>
      </c>
      <c r="N505" s="183">
        <f ca="1">SUMIFS(OFFSET('BPC Data'!$F:$F,0,Summary!N$2),'BPC Data'!$E:$E,Summary!$D505,'BPC Data'!$B:$B,Summary!$C505)</f>
        <v>0</v>
      </c>
      <c r="O505" s="19">
        <f ca="1">SUMIFS(OFFSET('BPC Data'!$F:$F,0,Summary!O$2),'BPC Data'!$E:$E,Summary!$D505,'BPC Data'!$B:$B,Summary!$C505)</f>
        <v>0</v>
      </c>
      <c r="P505" s="183">
        <f ca="1">SUMIFS(OFFSET('BPC Data'!$F:$F,0,Summary!P$2),'BPC Data'!$E:$E,Summary!$D505,'BPC Data'!$B:$B,Summary!$C505)</f>
        <v>0</v>
      </c>
      <c r="Q505" s="19">
        <f ca="1">SUMIFS(OFFSET('BPC Data'!$F:$F,0,Summary!Q$2),'BPC Data'!$E:$E,Summary!$D505,'BPC Data'!$B:$B,Summary!$C505)</f>
        <v>0</v>
      </c>
      <c r="R505" s="183">
        <f ca="1">SUMIFS(OFFSET('BPC Data'!$F:$F,0,Summary!R$2),'BPC Data'!$E:$E,Summary!$D505,'BPC Data'!$B:$B,Summary!$C505)</f>
        <v>0</v>
      </c>
      <c r="S505" s="187">
        <f t="shared" ca="1" si="157"/>
        <v>0</v>
      </c>
      <c r="T505" s="181"/>
    </row>
    <row r="506" spans="1:20" s="17" customFormat="1" outlineLevel="1" x14ac:dyDescent="0.25">
      <c r="A506" s="17">
        <f t="shared" ref="A506:A514" si="171">IF(AND(F506&lt;&gt;"",D506=""),A505+1,A505)</f>
        <v>46</v>
      </c>
      <c r="C506" t="str">
        <f>$F504</f>
        <v>Meadowview Health &amp; Rehabilitation Center</v>
      </c>
      <c r="D506" s="3" t="str">
        <f t="shared" si="159"/>
        <v>A_BEDS_TOTAL - Total Available Beds</v>
      </c>
      <c r="F506" s="24" t="str">
        <f>_xll.EVDES(D506)</f>
        <v>Total Available Beds</v>
      </c>
      <c r="G506" s="19">
        <f ca="1">SUMIFS(OFFSET('BPC Data'!$F:$F,0,Summary!G$2),'BPC Data'!$E:$E,Summary!$D506,'BPC Data'!$B:$B,Summary!$C506)</f>
        <v>0</v>
      </c>
      <c r="H506" s="183">
        <f ca="1">SUMIFS(OFFSET('BPC Data'!$F:$F,0,Summary!H$2),'BPC Data'!$E:$E,Summary!$D506,'BPC Data'!$B:$B,Summary!$C506)</f>
        <v>0</v>
      </c>
      <c r="I506" s="19">
        <f ca="1">SUMIFS(OFFSET('BPC Data'!$F:$F,0,Summary!I$2),'BPC Data'!$E:$E,Summary!$D506,'BPC Data'!$B:$B,Summary!$C506)</f>
        <v>0</v>
      </c>
      <c r="J506" s="183">
        <f ca="1">SUMIFS(OFFSET('BPC Data'!$F:$F,0,Summary!J$2),'BPC Data'!$E:$E,Summary!$D506,'BPC Data'!$B:$B,Summary!$C506)</f>
        <v>0</v>
      </c>
      <c r="K506" s="19">
        <f ca="1">SUMIFS(OFFSET('BPC Data'!$F:$F,0,Summary!K$2),'BPC Data'!$E:$E,Summary!$D506,'BPC Data'!$B:$B,Summary!$C506)</f>
        <v>0</v>
      </c>
      <c r="L506" s="183">
        <f ca="1">SUMIFS(OFFSET('BPC Data'!$F:$F,0,Summary!L$2),'BPC Data'!$E:$E,Summary!$D506,'BPC Data'!$B:$B,Summary!$C506)</f>
        <v>0</v>
      </c>
      <c r="M506" s="19">
        <f ca="1">SUMIFS(OFFSET('BPC Data'!$F:$F,0,Summary!M$2),'BPC Data'!$E:$E,Summary!$D506,'BPC Data'!$B:$B,Summary!$C506)</f>
        <v>0</v>
      </c>
      <c r="N506" s="183">
        <f ca="1">SUMIFS(OFFSET('BPC Data'!$F:$F,0,Summary!N$2),'BPC Data'!$E:$E,Summary!$D506,'BPC Data'!$B:$B,Summary!$C506)</f>
        <v>0</v>
      </c>
      <c r="O506" s="19">
        <f ca="1">SUMIFS(OFFSET('BPC Data'!$F:$F,0,Summary!O$2),'BPC Data'!$E:$E,Summary!$D506,'BPC Data'!$B:$B,Summary!$C506)</f>
        <v>0</v>
      </c>
      <c r="P506" s="183">
        <f ca="1">SUMIFS(OFFSET('BPC Data'!$F:$F,0,Summary!P$2),'BPC Data'!$E:$E,Summary!$D506,'BPC Data'!$B:$B,Summary!$C506)</f>
        <v>0</v>
      </c>
      <c r="Q506" s="19">
        <f ca="1">SUMIFS(OFFSET('BPC Data'!$F:$F,0,Summary!Q$2),'BPC Data'!$E:$E,Summary!$D506,'BPC Data'!$B:$B,Summary!$C506)</f>
        <v>0</v>
      </c>
      <c r="R506" s="183">
        <f ca="1">SUMIFS(OFFSET('BPC Data'!$F:$F,0,Summary!R$2),'BPC Data'!$E:$E,Summary!$D506,'BPC Data'!$B:$B,Summary!$C506)</f>
        <v>0</v>
      </c>
      <c r="S506" s="187">
        <f ca="1">R506</f>
        <v>0</v>
      </c>
      <c r="T506" s="181"/>
    </row>
    <row r="507" spans="1:20" s="17" customFormat="1" outlineLevel="1" x14ac:dyDescent="0.25">
      <c r="A507" s="17">
        <f t="shared" si="171"/>
        <v>46</v>
      </c>
      <c r="B507"/>
      <c r="C507" t="str">
        <f>$F504</f>
        <v>Meadowview Health &amp; Rehabilitation Center</v>
      </c>
      <c r="D507" s="3" t="str">
        <f t="shared" si="159"/>
        <v>T_REVENUES - Total Tenant Revenues</v>
      </c>
      <c r="E507"/>
      <c r="F507" s="24" t="str">
        <f>_xll.EVDES(D507)</f>
        <v>Total Tenant Revenues</v>
      </c>
      <c r="G507" s="19">
        <f ca="1">SUMIFS(OFFSET('BPC Data'!$F:$F,0,Summary!G$2),'BPC Data'!$E:$E,Summary!$D507,'BPC Data'!$B:$B,Summary!$C507)</f>
        <v>0</v>
      </c>
      <c r="H507" s="183">
        <f ca="1">SUMIFS(OFFSET('BPC Data'!$F:$F,0,Summary!H$2),'BPC Data'!$E:$E,Summary!$D507,'BPC Data'!$B:$B,Summary!$C507)</f>
        <v>0</v>
      </c>
      <c r="I507" s="19">
        <f ca="1">SUMIFS(OFFSET('BPC Data'!$F:$F,0,Summary!I$2),'BPC Data'!$E:$E,Summary!$D507,'BPC Data'!$B:$B,Summary!$C507)</f>
        <v>0</v>
      </c>
      <c r="J507" s="183">
        <f ca="1">SUMIFS(OFFSET('BPC Data'!$F:$F,0,Summary!J$2),'BPC Data'!$E:$E,Summary!$D507,'BPC Data'!$B:$B,Summary!$C507)</f>
        <v>0</v>
      </c>
      <c r="K507" s="19">
        <f ca="1">SUMIFS(OFFSET('BPC Data'!$F:$F,0,Summary!K$2),'BPC Data'!$E:$E,Summary!$D507,'BPC Data'!$B:$B,Summary!$C507)</f>
        <v>0</v>
      </c>
      <c r="L507" s="183">
        <f ca="1">SUMIFS(OFFSET('BPC Data'!$F:$F,0,Summary!L$2),'BPC Data'!$E:$E,Summary!$D507,'BPC Data'!$B:$B,Summary!$C507)</f>
        <v>0</v>
      </c>
      <c r="M507" s="19">
        <f ca="1">SUMIFS(OFFSET('BPC Data'!$F:$F,0,Summary!M$2),'BPC Data'!$E:$E,Summary!$D507,'BPC Data'!$B:$B,Summary!$C507)</f>
        <v>0</v>
      </c>
      <c r="N507" s="183">
        <f ca="1">SUMIFS(OFFSET('BPC Data'!$F:$F,0,Summary!N$2),'BPC Data'!$E:$E,Summary!$D507,'BPC Data'!$B:$B,Summary!$C507)</f>
        <v>0</v>
      </c>
      <c r="O507" s="19">
        <f ca="1">SUMIFS(OFFSET('BPC Data'!$F:$F,0,Summary!O$2),'BPC Data'!$E:$E,Summary!$D507,'BPC Data'!$B:$B,Summary!$C507)</f>
        <v>0</v>
      </c>
      <c r="P507" s="183">
        <f ca="1">SUMIFS(OFFSET('BPC Data'!$F:$F,0,Summary!P$2),'BPC Data'!$E:$E,Summary!$D507,'BPC Data'!$B:$B,Summary!$C507)</f>
        <v>0</v>
      </c>
      <c r="Q507" s="19">
        <f ca="1">SUMIFS(OFFSET('BPC Data'!$F:$F,0,Summary!Q$2),'BPC Data'!$E:$E,Summary!$D507,'BPC Data'!$B:$B,Summary!$C507)</f>
        <v>0</v>
      </c>
      <c r="R507" s="183">
        <f ca="1">SUMIFS(OFFSET('BPC Data'!$F:$F,0,Summary!R$2),'BPC Data'!$E:$E,Summary!$D507,'BPC Data'!$B:$B,Summary!$C507)</f>
        <v>0</v>
      </c>
      <c r="S507" s="187">
        <f t="shared" ca="1" si="157"/>
        <v>0</v>
      </c>
      <c r="T507" s="181"/>
    </row>
    <row r="508" spans="1:20" s="17" customFormat="1" outlineLevel="1" x14ac:dyDescent="0.25">
      <c r="A508" s="17">
        <f t="shared" si="171"/>
        <v>46</v>
      </c>
      <c r="B508"/>
      <c r="C508" t="str">
        <f>$F504</f>
        <v>Meadowview Health &amp; Rehabilitation Center</v>
      </c>
      <c r="D508" s="3" t="str">
        <f t="shared" si="159"/>
        <v>T_OPEX - Tenant Operating Expenses</v>
      </c>
      <c r="E508"/>
      <c r="F508" s="24" t="str">
        <f>_xll.EVDES(D508)</f>
        <v>Tenant Operating Expenses</v>
      </c>
      <c r="G508" s="19">
        <f ca="1">SUMIFS(OFFSET('BPC Data'!$F:$F,0,Summary!G$2),'BPC Data'!$E:$E,Summary!$D508,'BPC Data'!$B:$B,Summary!$C508)</f>
        <v>0</v>
      </c>
      <c r="H508" s="183">
        <f ca="1">SUMIFS(OFFSET('BPC Data'!$F:$F,0,Summary!H$2),'BPC Data'!$E:$E,Summary!$D508,'BPC Data'!$B:$B,Summary!$C508)</f>
        <v>0</v>
      </c>
      <c r="I508" s="19">
        <f ca="1">SUMIFS(OFFSET('BPC Data'!$F:$F,0,Summary!I$2),'BPC Data'!$E:$E,Summary!$D508,'BPC Data'!$B:$B,Summary!$C508)</f>
        <v>0</v>
      </c>
      <c r="J508" s="183">
        <f ca="1">SUMIFS(OFFSET('BPC Data'!$F:$F,0,Summary!J$2),'BPC Data'!$E:$E,Summary!$D508,'BPC Data'!$B:$B,Summary!$C508)</f>
        <v>0</v>
      </c>
      <c r="K508" s="19">
        <f ca="1">SUMIFS(OFFSET('BPC Data'!$F:$F,0,Summary!K$2),'BPC Data'!$E:$E,Summary!$D508,'BPC Data'!$B:$B,Summary!$C508)</f>
        <v>0</v>
      </c>
      <c r="L508" s="183">
        <f ca="1">SUMIFS(OFFSET('BPC Data'!$F:$F,0,Summary!L$2),'BPC Data'!$E:$E,Summary!$D508,'BPC Data'!$B:$B,Summary!$C508)</f>
        <v>0</v>
      </c>
      <c r="M508" s="19">
        <f ca="1">SUMIFS(OFFSET('BPC Data'!$F:$F,0,Summary!M$2),'BPC Data'!$E:$E,Summary!$D508,'BPC Data'!$B:$B,Summary!$C508)</f>
        <v>0</v>
      </c>
      <c r="N508" s="183">
        <f ca="1">SUMIFS(OFFSET('BPC Data'!$F:$F,0,Summary!N$2),'BPC Data'!$E:$E,Summary!$D508,'BPC Data'!$B:$B,Summary!$C508)</f>
        <v>0</v>
      </c>
      <c r="O508" s="19">
        <f ca="1">SUMIFS(OFFSET('BPC Data'!$F:$F,0,Summary!O$2),'BPC Data'!$E:$E,Summary!$D508,'BPC Data'!$B:$B,Summary!$C508)</f>
        <v>0</v>
      </c>
      <c r="P508" s="183">
        <f ca="1">SUMIFS(OFFSET('BPC Data'!$F:$F,0,Summary!P$2),'BPC Data'!$E:$E,Summary!$D508,'BPC Data'!$B:$B,Summary!$C508)</f>
        <v>0</v>
      </c>
      <c r="Q508" s="19">
        <f ca="1">SUMIFS(OFFSET('BPC Data'!$F:$F,0,Summary!Q$2),'BPC Data'!$E:$E,Summary!$D508,'BPC Data'!$B:$B,Summary!$C508)</f>
        <v>0</v>
      </c>
      <c r="R508" s="183">
        <f ca="1">SUMIFS(OFFSET('BPC Data'!$F:$F,0,Summary!R$2),'BPC Data'!$E:$E,Summary!$D508,'BPC Data'!$B:$B,Summary!$C508)</f>
        <v>0</v>
      </c>
      <c r="S508" s="187">
        <f t="shared" ca="1" si="157"/>
        <v>0</v>
      </c>
      <c r="T508" s="181"/>
    </row>
    <row r="509" spans="1:20" s="17" customFormat="1" outlineLevel="1" x14ac:dyDescent="0.25">
      <c r="A509" s="17">
        <f t="shared" si="171"/>
        <v>46</v>
      </c>
      <c r="B509"/>
      <c r="C509" t="str">
        <f>$F504</f>
        <v>Meadowview Health &amp; Rehabilitation Center</v>
      </c>
      <c r="D509" s="3" t="str">
        <f t="shared" si="159"/>
        <v>T_BAD_DEBT - Tenant Bad Debt Expense</v>
      </c>
      <c r="E509"/>
      <c r="F509" s="24" t="str">
        <f>_xll.EVDES(D509)</f>
        <v>Tenant Bad Debt Expense</v>
      </c>
      <c r="G509" s="19">
        <f ca="1">SUMIFS(OFFSET('BPC Data'!$F:$F,0,Summary!G$2),'BPC Data'!$E:$E,Summary!$D509,'BPC Data'!$B:$B,Summary!$C509)</f>
        <v>0</v>
      </c>
      <c r="H509" s="183">
        <f ca="1">SUMIFS(OFFSET('BPC Data'!$F:$F,0,Summary!H$2),'BPC Data'!$E:$E,Summary!$D509,'BPC Data'!$B:$B,Summary!$C509)</f>
        <v>0</v>
      </c>
      <c r="I509" s="19">
        <f ca="1">SUMIFS(OFFSET('BPC Data'!$F:$F,0,Summary!I$2),'BPC Data'!$E:$E,Summary!$D509,'BPC Data'!$B:$B,Summary!$C509)</f>
        <v>0</v>
      </c>
      <c r="J509" s="183">
        <f ca="1">SUMIFS(OFFSET('BPC Data'!$F:$F,0,Summary!J$2),'BPC Data'!$E:$E,Summary!$D509,'BPC Data'!$B:$B,Summary!$C509)</f>
        <v>0</v>
      </c>
      <c r="K509" s="19">
        <f ca="1">SUMIFS(OFFSET('BPC Data'!$F:$F,0,Summary!K$2),'BPC Data'!$E:$E,Summary!$D509,'BPC Data'!$B:$B,Summary!$C509)</f>
        <v>0</v>
      </c>
      <c r="L509" s="183">
        <f ca="1">SUMIFS(OFFSET('BPC Data'!$F:$F,0,Summary!L$2),'BPC Data'!$E:$E,Summary!$D509,'BPC Data'!$B:$B,Summary!$C509)</f>
        <v>0</v>
      </c>
      <c r="M509" s="19">
        <f ca="1">SUMIFS(OFFSET('BPC Data'!$F:$F,0,Summary!M$2),'BPC Data'!$E:$E,Summary!$D509,'BPC Data'!$B:$B,Summary!$C509)</f>
        <v>0</v>
      </c>
      <c r="N509" s="183">
        <f ca="1">SUMIFS(OFFSET('BPC Data'!$F:$F,0,Summary!N$2),'BPC Data'!$E:$E,Summary!$D509,'BPC Data'!$B:$B,Summary!$C509)</f>
        <v>0</v>
      </c>
      <c r="O509" s="19">
        <f ca="1">SUMIFS(OFFSET('BPC Data'!$F:$F,0,Summary!O$2),'BPC Data'!$E:$E,Summary!$D509,'BPC Data'!$B:$B,Summary!$C509)</f>
        <v>0</v>
      </c>
      <c r="P509" s="183">
        <f ca="1">SUMIFS(OFFSET('BPC Data'!$F:$F,0,Summary!P$2),'BPC Data'!$E:$E,Summary!$D509,'BPC Data'!$B:$B,Summary!$C509)</f>
        <v>0</v>
      </c>
      <c r="Q509" s="19">
        <f ca="1">SUMIFS(OFFSET('BPC Data'!$F:$F,0,Summary!Q$2),'BPC Data'!$E:$E,Summary!$D509,'BPC Data'!$B:$B,Summary!$C509)</f>
        <v>0</v>
      </c>
      <c r="R509" s="183">
        <f ca="1">SUMIFS(OFFSET('BPC Data'!$F:$F,0,Summary!R$2),'BPC Data'!$E:$E,Summary!$D509,'BPC Data'!$B:$B,Summary!$C509)</f>
        <v>0</v>
      </c>
      <c r="S509" s="187">
        <f t="shared" ca="1" si="157"/>
        <v>0</v>
      </c>
      <c r="T509" s="181"/>
    </row>
    <row r="510" spans="1:20" s="17" customFormat="1" outlineLevel="1" x14ac:dyDescent="0.25">
      <c r="A510" s="17">
        <f t="shared" si="171"/>
        <v>46</v>
      </c>
      <c r="B510"/>
      <c r="C510" t="str">
        <f>$F504</f>
        <v>Meadowview Health &amp; Rehabilitation Center</v>
      </c>
      <c r="D510" s="2" t="str">
        <f t="shared" si="159"/>
        <v>T_EBITDARM - EBITDARM</v>
      </c>
      <c r="E510"/>
      <c r="F510" s="24" t="str">
        <f>_xll.EVDES(D510)</f>
        <v>EBITDARM</v>
      </c>
      <c r="G510" s="19">
        <f ca="1">SUMIFS(OFFSET('BPC Data'!$F:$F,0,Summary!G$2),'BPC Data'!$E:$E,Summary!$D510,'BPC Data'!$B:$B,Summary!$C510)</f>
        <v>0</v>
      </c>
      <c r="H510" s="183">
        <f ca="1">SUMIFS(OFFSET('BPC Data'!$F:$F,0,Summary!H$2),'BPC Data'!$E:$E,Summary!$D510,'BPC Data'!$B:$B,Summary!$C510)</f>
        <v>0</v>
      </c>
      <c r="I510" s="19">
        <f ca="1">SUMIFS(OFFSET('BPC Data'!$F:$F,0,Summary!I$2),'BPC Data'!$E:$E,Summary!$D510,'BPC Data'!$B:$B,Summary!$C510)</f>
        <v>0</v>
      </c>
      <c r="J510" s="183">
        <f ca="1">SUMIFS(OFFSET('BPC Data'!$F:$F,0,Summary!J$2),'BPC Data'!$E:$E,Summary!$D510,'BPC Data'!$B:$B,Summary!$C510)</f>
        <v>0</v>
      </c>
      <c r="K510" s="19">
        <f ca="1">SUMIFS(OFFSET('BPC Data'!$F:$F,0,Summary!K$2),'BPC Data'!$E:$E,Summary!$D510,'BPC Data'!$B:$B,Summary!$C510)</f>
        <v>0</v>
      </c>
      <c r="L510" s="183">
        <f ca="1">SUMIFS(OFFSET('BPC Data'!$F:$F,0,Summary!L$2),'BPC Data'!$E:$E,Summary!$D510,'BPC Data'!$B:$B,Summary!$C510)</f>
        <v>0</v>
      </c>
      <c r="M510" s="19">
        <f ca="1">SUMIFS(OFFSET('BPC Data'!$F:$F,0,Summary!M$2),'BPC Data'!$E:$E,Summary!$D510,'BPC Data'!$B:$B,Summary!$C510)</f>
        <v>0</v>
      </c>
      <c r="N510" s="183">
        <f ca="1">SUMIFS(OFFSET('BPC Data'!$F:$F,0,Summary!N$2),'BPC Data'!$E:$E,Summary!$D510,'BPC Data'!$B:$B,Summary!$C510)</f>
        <v>0</v>
      </c>
      <c r="O510" s="19">
        <f ca="1">SUMIFS(OFFSET('BPC Data'!$F:$F,0,Summary!O$2),'BPC Data'!$E:$E,Summary!$D510,'BPC Data'!$B:$B,Summary!$C510)</f>
        <v>0</v>
      </c>
      <c r="P510" s="183">
        <f ca="1">SUMIFS(OFFSET('BPC Data'!$F:$F,0,Summary!P$2),'BPC Data'!$E:$E,Summary!$D510,'BPC Data'!$B:$B,Summary!$C510)</f>
        <v>0</v>
      </c>
      <c r="Q510" s="19">
        <f ca="1">SUMIFS(OFFSET('BPC Data'!$F:$F,0,Summary!Q$2),'BPC Data'!$E:$E,Summary!$D510,'BPC Data'!$B:$B,Summary!$C510)</f>
        <v>0</v>
      </c>
      <c r="R510" s="183">
        <f ca="1">SUMIFS(OFFSET('BPC Data'!$F:$F,0,Summary!R$2),'BPC Data'!$E:$E,Summary!$D510,'BPC Data'!$B:$B,Summary!$C510)</f>
        <v>0</v>
      </c>
      <c r="S510" s="187">
        <f t="shared" ca="1" si="157"/>
        <v>0</v>
      </c>
      <c r="T510" s="181"/>
    </row>
    <row r="511" spans="1:20" s="17" customFormat="1" outlineLevel="1" x14ac:dyDescent="0.25">
      <c r="A511" s="17">
        <f t="shared" si="171"/>
        <v>46</v>
      </c>
      <c r="B511"/>
      <c r="C511" t="str">
        <f>$F504</f>
        <v>Meadowview Health &amp; Rehabilitation Center</v>
      </c>
      <c r="D511" s="2" t="str">
        <f t="shared" si="159"/>
        <v>T_MGMT_FEE - Tenant Management Fee - Actual</v>
      </c>
      <c r="E511"/>
      <c r="F511" s="24" t="str">
        <f>_xll.EVDES(D511)</f>
        <v>Tenant Management Fee - Actual</v>
      </c>
      <c r="G511" s="19">
        <f ca="1">SUMIFS(OFFSET('BPC Data'!$F:$F,0,Summary!G$2),'BPC Data'!$E:$E,Summary!$D511,'BPC Data'!$B:$B,Summary!$C511)</f>
        <v>0</v>
      </c>
      <c r="H511" s="183">
        <f ca="1">SUMIFS(OFFSET('BPC Data'!$F:$F,0,Summary!H$2),'BPC Data'!$E:$E,Summary!$D511,'BPC Data'!$B:$B,Summary!$C511)</f>
        <v>0</v>
      </c>
      <c r="I511" s="19">
        <f ca="1">SUMIFS(OFFSET('BPC Data'!$F:$F,0,Summary!I$2),'BPC Data'!$E:$E,Summary!$D511,'BPC Data'!$B:$B,Summary!$C511)</f>
        <v>0</v>
      </c>
      <c r="J511" s="183">
        <f ca="1">SUMIFS(OFFSET('BPC Data'!$F:$F,0,Summary!J$2),'BPC Data'!$E:$E,Summary!$D511,'BPC Data'!$B:$B,Summary!$C511)</f>
        <v>0</v>
      </c>
      <c r="K511" s="19">
        <f ca="1">SUMIFS(OFFSET('BPC Data'!$F:$F,0,Summary!K$2),'BPC Data'!$E:$E,Summary!$D511,'BPC Data'!$B:$B,Summary!$C511)</f>
        <v>0</v>
      </c>
      <c r="L511" s="183">
        <f ca="1">SUMIFS(OFFSET('BPC Data'!$F:$F,0,Summary!L$2),'BPC Data'!$E:$E,Summary!$D511,'BPC Data'!$B:$B,Summary!$C511)</f>
        <v>0</v>
      </c>
      <c r="M511" s="19">
        <f ca="1">SUMIFS(OFFSET('BPC Data'!$F:$F,0,Summary!M$2),'BPC Data'!$E:$E,Summary!$D511,'BPC Data'!$B:$B,Summary!$C511)</f>
        <v>0</v>
      </c>
      <c r="N511" s="183">
        <f ca="1">SUMIFS(OFFSET('BPC Data'!$F:$F,0,Summary!N$2),'BPC Data'!$E:$E,Summary!$D511,'BPC Data'!$B:$B,Summary!$C511)</f>
        <v>0</v>
      </c>
      <c r="O511" s="19">
        <f ca="1">SUMIFS(OFFSET('BPC Data'!$F:$F,0,Summary!O$2),'BPC Data'!$E:$E,Summary!$D511,'BPC Data'!$B:$B,Summary!$C511)</f>
        <v>0</v>
      </c>
      <c r="P511" s="183">
        <f ca="1">SUMIFS(OFFSET('BPC Data'!$F:$F,0,Summary!P$2),'BPC Data'!$E:$E,Summary!$D511,'BPC Data'!$B:$B,Summary!$C511)</f>
        <v>0</v>
      </c>
      <c r="Q511" s="19">
        <f ca="1">SUMIFS(OFFSET('BPC Data'!$F:$F,0,Summary!Q$2),'BPC Data'!$E:$E,Summary!$D511,'BPC Data'!$B:$B,Summary!$C511)</f>
        <v>0</v>
      </c>
      <c r="R511" s="183">
        <f ca="1">SUMIFS(OFFSET('BPC Data'!$F:$F,0,Summary!R$2),'BPC Data'!$E:$E,Summary!$D511,'BPC Data'!$B:$B,Summary!$C511)</f>
        <v>0</v>
      </c>
      <c r="S511" s="187">
        <f t="shared" ca="1" si="157"/>
        <v>0</v>
      </c>
      <c r="T511" s="181"/>
    </row>
    <row r="512" spans="1:20" s="17" customFormat="1" outlineLevel="1" x14ac:dyDescent="0.25">
      <c r="A512" s="17">
        <f t="shared" si="171"/>
        <v>46</v>
      </c>
      <c r="B512"/>
      <c r="C512" t="str">
        <f>$F504</f>
        <v>Meadowview Health &amp; Rehabilitation Center</v>
      </c>
      <c r="D512" s="1" t="str">
        <f t="shared" si="159"/>
        <v>T_EBITDAR - EBITDAR</v>
      </c>
      <c r="E512"/>
      <c r="F512" s="24" t="str">
        <f>_xll.EVDES(D512)</f>
        <v>EBITDAR</v>
      </c>
      <c r="G512" s="19">
        <f ca="1">SUMIFS(OFFSET('BPC Data'!$F:$F,0,Summary!G$2),'BPC Data'!$E:$E,Summary!$D512,'BPC Data'!$B:$B,Summary!$C512)</f>
        <v>0</v>
      </c>
      <c r="H512" s="183">
        <f ca="1">SUMIFS(OFFSET('BPC Data'!$F:$F,0,Summary!H$2),'BPC Data'!$E:$E,Summary!$D512,'BPC Data'!$B:$B,Summary!$C512)</f>
        <v>0</v>
      </c>
      <c r="I512" s="19">
        <f ca="1">SUMIFS(OFFSET('BPC Data'!$F:$F,0,Summary!I$2),'BPC Data'!$E:$E,Summary!$D512,'BPC Data'!$B:$B,Summary!$C512)</f>
        <v>0</v>
      </c>
      <c r="J512" s="183">
        <f ca="1">SUMIFS(OFFSET('BPC Data'!$F:$F,0,Summary!J$2),'BPC Data'!$E:$E,Summary!$D512,'BPC Data'!$B:$B,Summary!$C512)</f>
        <v>0</v>
      </c>
      <c r="K512" s="19">
        <f ca="1">SUMIFS(OFFSET('BPC Data'!$F:$F,0,Summary!K$2),'BPC Data'!$E:$E,Summary!$D512,'BPC Data'!$B:$B,Summary!$C512)</f>
        <v>0</v>
      </c>
      <c r="L512" s="183">
        <f ca="1">SUMIFS(OFFSET('BPC Data'!$F:$F,0,Summary!L$2),'BPC Data'!$E:$E,Summary!$D512,'BPC Data'!$B:$B,Summary!$C512)</f>
        <v>0</v>
      </c>
      <c r="M512" s="19">
        <f ca="1">SUMIFS(OFFSET('BPC Data'!$F:$F,0,Summary!M$2),'BPC Data'!$E:$E,Summary!$D512,'BPC Data'!$B:$B,Summary!$C512)</f>
        <v>0</v>
      </c>
      <c r="N512" s="183">
        <f ca="1">SUMIFS(OFFSET('BPC Data'!$F:$F,0,Summary!N$2),'BPC Data'!$E:$E,Summary!$D512,'BPC Data'!$B:$B,Summary!$C512)</f>
        <v>0</v>
      </c>
      <c r="O512" s="19">
        <f ca="1">SUMIFS(OFFSET('BPC Data'!$F:$F,0,Summary!O$2),'BPC Data'!$E:$E,Summary!$D512,'BPC Data'!$B:$B,Summary!$C512)</f>
        <v>0</v>
      </c>
      <c r="P512" s="183">
        <f ca="1">SUMIFS(OFFSET('BPC Data'!$F:$F,0,Summary!P$2),'BPC Data'!$E:$E,Summary!$D512,'BPC Data'!$B:$B,Summary!$C512)</f>
        <v>0</v>
      </c>
      <c r="Q512" s="19">
        <f ca="1">SUMIFS(OFFSET('BPC Data'!$F:$F,0,Summary!Q$2),'BPC Data'!$E:$E,Summary!$D512,'BPC Data'!$B:$B,Summary!$C512)</f>
        <v>0</v>
      </c>
      <c r="R512" s="183">
        <f ca="1">SUMIFS(OFFSET('BPC Data'!$F:$F,0,Summary!R$2),'BPC Data'!$E:$E,Summary!$D512,'BPC Data'!$B:$B,Summary!$C512)</f>
        <v>0</v>
      </c>
      <c r="S512" s="187">
        <f t="shared" ca="1" si="157"/>
        <v>0</v>
      </c>
      <c r="T512" s="181"/>
    </row>
    <row r="513" spans="1:20" s="17" customFormat="1" outlineLevel="1" x14ac:dyDescent="0.25">
      <c r="A513" s="17">
        <f t="shared" si="171"/>
        <v>46</v>
      </c>
      <c r="B513"/>
      <c r="C513" t="str">
        <f>$F504</f>
        <v>Meadowview Health &amp; Rehabilitation Center</v>
      </c>
      <c r="D513" s="1" t="str">
        <f t="shared" si="159"/>
        <v>T_RENT_EXP - Tenant Rent Expense</v>
      </c>
      <c r="E513"/>
      <c r="F513" s="24" t="str">
        <f>_xll.EVDES(D513)</f>
        <v>Tenant Rent Expense</v>
      </c>
      <c r="G513" s="19">
        <f ca="1">SUMIFS(OFFSET('BPC Data'!$F:$F,0,Summary!G$2),'BPC Data'!$E:$E,Summary!$D513,'BPC Data'!$B:$B,Summary!$C513)</f>
        <v>0</v>
      </c>
      <c r="H513" s="183">
        <f ca="1">SUMIFS(OFFSET('BPC Data'!$F:$F,0,Summary!H$2),'BPC Data'!$E:$E,Summary!$D513,'BPC Data'!$B:$B,Summary!$C513)</f>
        <v>0</v>
      </c>
      <c r="I513" s="19">
        <f ca="1">SUMIFS(OFFSET('BPC Data'!$F:$F,0,Summary!I$2),'BPC Data'!$E:$E,Summary!$D513,'BPC Data'!$B:$B,Summary!$C513)</f>
        <v>0</v>
      </c>
      <c r="J513" s="183">
        <f ca="1">SUMIFS(OFFSET('BPC Data'!$F:$F,0,Summary!J$2),'BPC Data'!$E:$E,Summary!$D513,'BPC Data'!$B:$B,Summary!$C513)</f>
        <v>0</v>
      </c>
      <c r="K513" s="19">
        <f ca="1">SUMIFS(OFFSET('BPC Data'!$F:$F,0,Summary!K$2),'BPC Data'!$E:$E,Summary!$D513,'BPC Data'!$B:$B,Summary!$C513)</f>
        <v>0</v>
      </c>
      <c r="L513" s="183">
        <f ca="1">SUMIFS(OFFSET('BPC Data'!$F:$F,0,Summary!L$2),'BPC Data'!$E:$E,Summary!$D513,'BPC Data'!$B:$B,Summary!$C513)</f>
        <v>0</v>
      </c>
      <c r="M513" s="19">
        <f ca="1">SUMIFS(OFFSET('BPC Data'!$F:$F,0,Summary!M$2),'BPC Data'!$E:$E,Summary!$D513,'BPC Data'!$B:$B,Summary!$C513)</f>
        <v>0</v>
      </c>
      <c r="N513" s="183">
        <f ca="1">SUMIFS(OFFSET('BPC Data'!$F:$F,0,Summary!N$2),'BPC Data'!$E:$E,Summary!$D513,'BPC Data'!$B:$B,Summary!$C513)</f>
        <v>0</v>
      </c>
      <c r="O513" s="19">
        <f ca="1">SUMIFS(OFFSET('BPC Data'!$F:$F,0,Summary!O$2),'BPC Data'!$E:$E,Summary!$D513,'BPC Data'!$B:$B,Summary!$C513)</f>
        <v>0</v>
      </c>
      <c r="P513" s="183">
        <f ca="1">SUMIFS(OFFSET('BPC Data'!$F:$F,0,Summary!P$2),'BPC Data'!$E:$E,Summary!$D513,'BPC Data'!$B:$B,Summary!$C513)</f>
        <v>0</v>
      </c>
      <c r="Q513" s="19">
        <f ca="1">SUMIFS(OFFSET('BPC Data'!$F:$F,0,Summary!Q$2),'BPC Data'!$E:$E,Summary!$D513,'BPC Data'!$B:$B,Summary!$C513)</f>
        <v>0</v>
      </c>
      <c r="R513" s="183">
        <f ca="1">SUMIFS(OFFSET('BPC Data'!$F:$F,0,Summary!R$2),'BPC Data'!$E:$E,Summary!$D513,'BPC Data'!$B:$B,Summary!$C513)</f>
        <v>0</v>
      </c>
      <c r="S513" s="187">
        <f t="shared" ca="1" si="157"/>
        <v>0</v>
      </c>
      <c r="T513" s="181"/>
    </row>
    <row r="514" spans="1:20" s="17" customFormat="1" outlineLevel="1" x14ac:dyDescent="0.25">
      <c r="A514" s="17">
        <f t="shared" si="171"/>
        <v>46</v>
      </c>
      <c r="B514"/>
      <c r="C514"/>
      <c r="D514" s="1" t="str">
        <f t="shared" si="159"/>
        <v>x</v>
      </c>
      <c r="E514"/>
      <c r="F514" s="24" t="s">
        <v>0</v>
      </c>
      <c r="G514" s="12" t="e">
        <f ca="1">G512/G513</f>
        <v>#DIV/0!</v>
      </c>
      <c r="H514" s="184" t="e">
        <f t="shared" ref="H514:I514" ca="1" si="172">H512/H513</f>
        <v>#DIV/0!</v>
      </c>
      <c r="I514" s="12" t="e">
        <f t="shared" ca="1" si="172"/>
        <v>#DIV/0!</v>
      </c>
      <c r="J514" s="184" t="e">
        <f t="shared" ref="J514:R514" ca="1" si="173">J512/J513</f>
        <v>#DIV/0!</v>
      </c>
      <c r="K514" s="12" t="e">
        <f t="shared" ca="1" si="173"/>
        <v>#DIV/0!</v>
      </c>
      <c r="L514" s="184" t="e">
        <f t="shared" ca="1" si="173"/>
        <v>#DIV/0!</v>
      </c>
      <c r="M514" s="12" t="e">
        <f t="shared" ca="1" si="173"/>
        <v>#DIV/0!</v>
      </c>
      <c r="N514" s="184" t="e">
        <f t="shared" ca="1" si="173"/>
        <v>#DIV/0!</v>
      </c>
      <c r="O514" s="12" t="e">
        <f t="shared" ca="1" si="173"/>
        <v>#DIV/0!</v>
      </c>
      <c r="P514" s="184" t="e">
        <f t="shared" ca="1" si="173"/>
        <v>#DIV/0!</v>
      </c>
      <c r="Q514" s="12" t="e">
        <f t="shared" ca="1" si="173"/>
        <v>#DIV/0!</v>
      </c>
      <c r="R514" s="184" t="e">
        <f t="shared" ca="1" si="173"/>
        <v>#DIV/0!</v>
      </c>
      <c r="S514" s="187" t="e">
        <f t="shared" ca="1" si="157"/>
        <v>#DIV/0!</v>
      </c>
      <c r="T514" s="181"/>
    </row>
    <row r="515" spans="1:20" s="17" customFormat="1" outlineLevel="1" x14ac:dyDescent="0.25">
      <c r="A515" s="17">
        <f>IF(AND(D515&lt;&gt;"",C515=""),A514+1,A514)</f>
        <v>47</v>
      </c>
      <c r="B515" s="5"/>
      <c r="C515" s="5"/>
      <c r="D515" s="5" t="str">
        <f t="shared" si="159"/>
        <v>x</v>
      </c>
      <c r="E515" s="5"/>
      <c r="F515" s="23" t="str">
        <f>INDEX(PropertyList!$D:$D,MATCH(Summary!$A515,PropertyList!$C:$C,0))</f>
        <v>SHC at Glenview</v>
      </c>
      <c r="G515" s="11"/>
      <c r="H515" s="182"/>
      <c r="I515" s="11"/>
      <c r="J515" s="182"/>
      <c r="K515" s="11"/>
      <c r="L515" s="182"/>
      <c r="M515" s="11"/>
      <c r="N515" s="182"/>
      <c r="O515" s="11"/>
      <c r="P515" s="182"/>
      <c r="Q515" s="11"/>
      <c r="R515" s="182"/>
      <c r="S515" s="187">
        <f t="shared" si="157"/>
        <v>0</v>
      </c>
      <c r="T515" s="181"/>
    </row>
    <row r="516" spans="1:20" s="17" customFormat="1" outlineLevel="1" x14ac:dyDescent="0.25">
      <c r="A516" s="17">
        <f>IF(AND(F516&lt;&gt;"",D516=""),A515+1,A515)</f>
        <v>47</v>
      </c>
      <c r="C516" t="str">
        <f>$F515</f>
        <v>SHC at Glenview</v>
      </c>
      <c r="D516" s="3" t="str">
        <f t="shared" si="159"/>
        <v>PAY_PAT_DAYS - Total Payor Patient Days</v>
      </c>
      <c r="F516" s="24" t="str">
        <f>_xll.EVDES(D516)</f>
        <v>Total Payor Patient Days</v>
      </c>
      <c r="G516" s="19">
        <f ca="1">SUMIFS(OFFSET('BPC Data'!$F:$F,0,Summary!G$2),'BPC Data'!$E:$E,Summary!$D516,'BPC Data'!$B:$B,Summary!$C516)</f>
        <v>0</v>
      </c>
      <c r="H516" s="183">
        <f ca="1">SUMIFS(OFFSET('BPC Data'!$F:$F,0,Summary!H$2),'BPC Data'!$E:$E,Summary!$D516,'BPC Data'!$B:$B,Summary!$C516)</f>
        <v>0</v>
      </c>
      <c r="I516" s="19">
        <f ca="1">SUMIFS(OFFSET('BPC Data'!$F:$F,0,Summary!I$2),'BPC Data'!$E:$E,Summary!$D516,'BPC Data'!$B:$B,Summary!$C516)</f>
        <v>0</v>
      </c>
      <c r="J516" s="183">
        <f ca="1">SUMIFS(OFFSET('BPC Data'!$F:$F,0,Summary!J$2),'BPC Data'!$E:$E,Summary!$D516,'BPC Data'!$B:$B,Summary!$C516)</f>
        <v>0</v>
      </c>
      <c r="K516" s="19">
        <f ca="1">SUMIFS(OFFSET('BPC Data'!$F:$F,0,Summary!K$2),'BPC Data'!$E:$E,Summary!$D516,'BPC Data'!$B:$B,Summary!$C516)</f>
        <v>0</v>
      </c>
      <c r="L516" s="183">
        <f ca="1">SUMIFS(OFFSET('BPC Data'!$F:$F,0,Summary!L$2),'BPC Data'!$E:$E,Summary!$D516,'BPC Data'!$B:$B,Summary!$C516)</f>
        <v>0</v>
      </c>
      <c r="M516" s="19">
        <f ca="1">SUMIFS(OFFSET('BPC Data'!$F:$F,0,Summary!M$2),'BPC Data'!$E:$E,Summary!$D516,'BPC Data'!$B:$B,Summary!$C516)</f>
        <v>0</v>
      </c>
      <c r="N516" s="183">
        <f ca="1">SUMIFS(OFFSET('BPC Data'!$F:$F,0,Summary!N$2),'BPC Data'!$E:$E,Summary!$D516,'BPC Data'!$B:$B,Summary!$C516)</f>
        <v>0</v>
      </c>
      <c r="O516" s="19">
        <f ca="1">SUMIFS(OFFSET('BPC Data'!$F:$F,0,Summary!O$2),'BPC Data'!$E:$E,Summary!$D516,'BPC Data'!$B:$B,Summary!$C516)</f>
        <v>0</v>
      </c>
      <c r="P516" s="183">
        <f ca="1">SUMIFS(OFFSET('BPC Data'!$F:$F,0,Summary!P$2),'BPC Data'!$E:$E,Summary!$D516,'BPC Data'!$B:$B,Summary!$C516)</f>
        <v>0</v>
      </c>
      <c r="Q516" s="19">
        <f ca="1">SUMIFS(OFFSET('BPC Data'!$F:$F,0,Summary!Q$2),'BPC Data'!$E:$E,Summary!$D516,'BPC Data'!$B:$B,Summary!$C516)</f>
        <v>0</v>
      </c>
      <c r="R516" s="183">
        <f ca="1">SUMIFS(OFFSET('BPC Data'!$F:$F,0,Summary!R$2),'BPC Data'!$E:$E,Summary!$D516,'BPC Data'!$B:$B,Summary!$C516)</f>
        <v>0</v>
      </c>
      <c r="S516" s="187">
        <f t="shared" ca="1" si="157"/>
        <v>0</v>
      </c>
      <c r="T516" s="181"/>
    </row>
    <row r="517" spans="1:20" s="17" customFormat="1" outlineLevel="1" x14ac:dyDescent="0.25">
      <c r="A517" s="17">
        <f t="shared" ref="A517:A525" si="174">IF(AND(F517&lt;&gt;"",D517=""),A516+1,A516)</f>
        <v>47</v>
      </c>
      <c r="C517" t="str">
        <f>$F515</f>
        <v>SHC at Glenview</v>
      </c>
      <c r="D517" s="3" t="str">
        <f t="shared" si="159"/>
        <v>A_BEDS_TOTAL - Total Available Beds</v>
      </c>
      <c r="F517" s="24" t="str">
        <f>_xll.EVDES(D517)</f>
        <v>Total Available Beds</v>
      </c>
      <c r="G517" s="19">
        <f ca="1">SUMIFS(OFFSET('BPC Data'!$F:$F,0,Summary!G$2),'BPC Data'!$E:$E,Summary!$D517,'BPC Data'!$B:$B,Summary!$C517)</f>
        <v>0</v>
      </c>
      <c r="H517" s="183">
        <f ca="1">SUMIFS(OFFSET('BPC Data'!$F:$F,0,Summary!H$2),'BPC Data'!$E:$E,Summary!$D517,'BPC Data'!$B:$B,Summary!$C517)</f>
        <v>0</v>
      </c>
      <c r="I517" s="19">
        <f ca="1">SUMIFS(OFFSET('BPC Data'!$F:$F,0,Summary!I$2),'BPC Data'!$E:$E,Summary!$D517,'BPC Data'!$B:$B,Summary!$C517)</f>
        <v>0</v>
      </c>
      <c r="J517" s="183">
        <f ca="1">SUMIFS(OFFSET('BPC Data'!$F:$F,0,Summary!J$2),'BPC Data'!$E:$E,Summary!$D517,'BPC Data'!$B:$B,Summary!$C517)</f>
        <v>0</v>
      </c>
      <c r="K517" s="19">
        <f ca="1">SUMIFS(OFFSET('BPC Data'!$F:$F,0,Summary!K$2),'BPC Data'!$E:$E,Summary!$D517,'BPC Data'!$B:$B,Summary!$C517)</f>
        <v>0</v>
      </c>
      <c r="L517" s="183">
        <f ca="1">SUMIFS(OFFSET('BPC Data'!$F:$F,0,Summary!L$2),'BPC Data'!$E:$E,Summary!$D517,'BPC Data'!$B:$B,Summary!$C517)</f>
        <v>0</v>
      </c>
      <c r="M517" s="19">
        <f ca="1">SUMIFS(OFFSET('BPC Data'!$F:$F,0,Summary!M$2),'BPC Data'!$E:$E,Summary!$D517,'BPC Data'!$B:$B,Summary!$C517)</f>
        <v>0</v>
      </c>
      <c r="N517" s="183">
        <f ca="1">SUMIFS(OFFSET('BPC Data'!$F:$F,0,Summary!N$2),'BPC Data'!$E:$E,Summary!$D517,'BPC Data'!$B:$B,Summary!$C517)</f>
        <v>0</v>
      </c>
      <c r="O517" s="19">
        <f ca="1">SUMIFS(OFFSET('BPC Data'!$F:$F,0,Summary!O$2),'BPC Data'!$E:$E,Summary!$D517,'BPC Data'!$B:$B,Summary!$C517)</f>
        <v>0</v>
      </c>
      <c r="P517" s="183">
        <f ca="1">SUMIFS(OFFSET('BPC Data'!$F:$F,0,Summary!P$2),'BPC Data'!$E:$E,Summary!$D517,'BPC Data'!$B:$B,Summary!$C517)</f>
        <v>0</v>
      </c>
      <c r="Q517" s="19">
        <f ca="1">SUMIFS(OFFSET('BPC Data'!$F:$F,0,Summary!Q$2),'BPC Data'!$E:$E,Summary!$D517,'BPC Data'!$B:$B,Summary!$C517)</f>
        <v>0</v>
      </c>
      <c r="R517" s="183">
        <f ca="1">SUMIFS(OFFSET('BPC Data'!$F:$F,0,Summary!R$2),'BPC Data'!$E:$E,Summary!$D517,'BPC Data'!$B:$B,Summary!$C517)</f>
        <v>0</v>
      </c>
      <c r="S517" s="187">
        <f ca="1">R517</f>
        <v>0</v>
      </c>
      <c r="T517" s="181"/>
    </row>
    <row r="518" spans="1:20" s="17" customFormat="1" outlineLevel="1" x14ac:dyDescent="0.25">
      <c r="A518" s="17">
        <f t="shared" si="174"/>
        <v>47</v>
      </c>
      <c r="B518"/>
      <c r="C518" t="str">
        <f>$F515</f>
        <v>SHC at Glenview</v>
      </c>
      <c r="D518" s="3" t="str">
        <f t="shared" si="159"/>
        <v>T_REVENUES - Total Tenant Revenues</v>
      </c>
      <c r="E518"/>
      <c r="F518" s="24" t="str">
        <f>_xll.EVDES(D518)</f>
        <v>Total Tenant Revenues</v>
      </c>
      <c r="G518" s="19">
        <f ca="1">SUMIFS(OFFSET('BPC Data'!$F:$F,0,Summary!G$2),'BPC Data'!$E:$E,Summary!$D518,'BPC Data'!$B:$B,Summary!$C518)</f>
        <v>0</v>
      </c>
      <c r="H518" s="183">
        <f ca="1">SUMIFS(OFFSET('BPC Data'!$F:$F,0,Summary!H$2),'BPC Data'!$E:$E,Summary!$D518,'BPC Data'!$B:$B,Summary!$C518)</f>
        <v>0</v>
      </c>
      <c r="I518" s="19">
        <f ca="1">SUMIFS(OFFSET('BPC Data'!$F:$F,0,Summary!I$2),'BPC Data'!$E:$E,Summary!$D518,'BPC Data'!$B:$B,Summary!$C518)</f>
        <v>0</v>
      </c>
      <c r="J518" s="183">
        <f ca="1">SUMIFS(OFFSET('BPC Data'!$F:$F,0,Summary!J$2),'BPC Data'!$E:$E,Summary!$D518,'BPC Data'!$B:$B,Summary!$C518)</f>
        <v>0</v>
      </c>
      <c r="K518" s="19">
        <f ca="1">SUMIFS(OFFSET('BPC Data'!$F:$F,0,Summary!K$2),'BPC Data'!$E:$E,Summary!$D518,'BPC Data'!$B:$B,Summary!$C518)</f>
        <v>0</v>
      </c>
      <c r="L518" s="183">
        <f ca="1">SUMIFS(OFFSET('BPC Data'!$F:$F,0,Summary!L$2),'BPC Data'!$E:$E,Summary!$D518,'BPC Data'!$B:$B,Summary!$C518)</f>
        <v>0</v>
      </c>
      <c r="M518" s="19">
        <f ca="1">SUMIFS(OFFSET('BPC Data'!$F:$F,0,Summary!M$2),'BPC Data'!$E:$E,Summary!$D518,'BPC Data'!$B:$B,Summary!$C518)</f>
        <v>0</v>
      </c>
      <c r="N518" s="183">
        <f ca="1">SUMIFS(OFFSET('BPC Data'!$F:$F,0,Summary!N$2),'BPC Data'!$E:$E,Summary!$D518,'BPC Data'!$B:$B,Summary!$C518)</f>
        <v>0</v>
      </c>
      <c r="O518" s="19">
        <f ca="1">SUMIFS(OFFSET('BPC Data'!$F:$F,0,Summary!O$2),'BPC Data'!$E:$E,Summary!$D518,'BPC Data'!$B:$B,Summary!$C518)</f>
        <v>0</v>
      </c>
      <c r="P518" s="183">
        <f ca="1">SUMIFS(OFFSET('BPC Data'!$F:$F,0,Summary!P$2),'BPC Data'!$E:$E,Summary!$D518,'BPC Data'!$B:$B,Summary!$C518)</f>
        <v>0</v>
      </c>
      <c r="Q518" s="19">
        <f ca="1">SUMIFS(OFFSET('BPC Data'!$F:$F,0,Summary!Q$2),'BPC Data'!$E:$E,Summary!$D518,'BPC Data'!$B:$B,Summary!$C518)</f>
        <v>0</v>
      </c>
      <c r="R518" s="183">
        <f ca="1">SUMIFS(OFFSET('BPC Data'!$F:$F,0,Summary!R$2),'BPC Data'!$E:$E,Summary!$D518,'BPC Data'!$B:$B,Summary!$C518)</f>
        <v>0</v>
      </c>
      <c r="S518" s="187">
        <f t="shared" ca="1" si="157"/>
        <v>0</v>
      </c>
      <c r="T518" s="181"/>
    </row>
    <row r="519" spans="1:20" s="17" customFormat="1" outlineLevel="1" x14ac:dyDescent="0.25">
      <c r="A519" s="17">
        <f t="shared" si="174"/>
        <v>47</v>
      </c>
      <c r="B519"/>
      <c r="C519" t="str">
        <f>$F515</f>
        <v>SHC at Glenview</v>
      </c>
      <c r="D519" s="3" t="str">
        <f t="shared" si="159"/>
        <v>T_OPEX - Tenant Operating Expenses</v>
      </c>
      <c r="E519"/>
      <c r="F519" s="24" t="str">
        <f>_xll.EVDES(D519)</f>
        <v>Tenant Operating Expenses</v>
      </c>
      <c r="G519" s="19">
        <f ca="1">SUMIFS(OFFSET('BPC Data'!$F:$F,0,Summary!G$2),'BPC Data'!$E:$E,Summary!$D519,'BPC Data'!$B:$B,Summary!$C519)</f>
        <v>0</v>
      </c>
      <c r="H519" s="183">
        <f ca="1">SUMIFS(OFFSET('BPC Data'!$F:$F,0,Summary!H$2),'BPC Data'!$E:$E,Summary!$D519,'BPC Data'!$B:$B,Summary!$C519)</f>
        <v>0</v>
      </c>
      <c r="I519" s="19">
        <f ca="1">SUMIFS(OFFSET('BPC Data'!$F:$F,0,Summary!I$2),'BPC Data'!$E:$E,Summary!$D519,'BPC Data'!$B:$B,Summary!$C519)</f>
        <v>0</v>
      </c>
      <c r="J519" s="183">
        <f ca="1">SUMIFS(OFFSET('BPC Data'!$F:$F,0,Summary!J$2),'BPC Data'!$E:$E,Summary!$D519,'BPC Data'!$B:$B,Summary!$C519)</f>
        <v>0</v>
      </c>
      <c r="K519" s="19">
        <f ca="1">SUMIFS(OFFSET('BPC Data'!$F:$F,0,Summary!K$2),'BPC Data'!$E:$E,Summary!$D519,'BPC Data'!$B:$B,Summary!$C519)</f>
        <v>0</v>
      </c>
      <c r="L519" s="183">
        <f ca="1">SUMIFS(OFFSET('BPC Data'!$F:$F,0,Summary!L$2),'BPC Data'!$E:$E,Summary!$D519,'BPC Data'!$B:$B,Summary!$C519)</f>
        <v>0</v>
      </c>
      <c r="M519" s="19">
        <f ca="1">SUMIFS(OFFSET('BPC Data'!$F:$F,0,Summary!M$2),'BPC Data'!$E:$E,Summary!$D519,'BPC Data'!$B:$B,Summary!$C519)</f>
        <v>0</v>
      </c>
      <c r="N519" s="183">
        <f ca="1">SUMIFS(OFFSET('BPC Data'!$F:$F,0,Summary!N$2),'BPC Data'!$E:$E,Summary!$D519,'BPC Data'!$B:$B,Summary!$C519)</f>
        <v>0</v>
      </c>
      <c r="O519" s="19">
        <f ca="1">SUMIFS(OFFSET('BPC Data'!$F:$F,0,Summary!O$2),'BPC Data'!$E:$E,Summary!$D519,'BPC Data'!$B:$B,Summary!$C519)</f>
        <v>0</v>
      </c>
      <c r="P519" s="183">
        <f ca="1">SUMIFS(OFFSET('BPC Data'!$F:$F,0,Summary!P$2),'BPC Data'!$E:$E,Summary!$D519,'BPC Data'!$B:$B,Summary!$C519)</f>
        <v>0</v>
      </c>
      <c r="Q519" s="19">
        <f ca="1">SUMIFS(OFFSET('BPC Data'!$F:$F,0,Summary!Q$2),'BPC Data'!$E:$E,Summary!$D519,'BPC Data'!$B:$B,Summary!$C519)</f>
        <v>0</v>
      </c>
      <c r="R519" s="183">
        <f ca="1">SUMIFS(OFFSET('BPC Data'!$F:$F,0,Summary!R$2),'BPC Data'!$E:$E,Summary!$D519,'BPC Data'!$B:$B,Summary!$C519)</f>
        <v>0</v>
      </c>
      <c r="S519" s="187">
        <f t="shared" ca="1" si="157"/>
        <v>0</v>
      </c>
      <c r="T519" s="181"/>
    </row>
    <row r="520" spans="1:20" s="17" customFormat="1" outlineLevel="1" x14ac:dyDescent="0.25">
      <c r="A520" s="17">
        <f t="shared" si="174"/>
        <v>47</v>
      </c>
      <c r="B520"/>
      <c r="C520" t="str">
        <f>$F515</f>
        <v>SHC at Glenview</v>
      </c>
      <c r="D520" s="3" t="str">
        <f t="shared" si="159"/>
        <v>T_BAD_DEBT - Tenant Bad Debt Expense</v>
      </c>
      <c r="E520"/>
      <c r="F520" s="24" t="str">
        <f>_xll.EVDES(D520)</f>
        <v>Tenant Bad Debt Expense</v>
      </c>
      <c r="G520" s="19">
        <f ca="1">SUMIFS(OFFSET('BPC Data'!$F:$F,0,Summary!G$2),'BPC Data'!$E:$E,Summary!$D520,'BPC Data'!$B:$B,Summary!$C520)</f>
        <v>0</v>
      </c>
      <c r="H520" s="183">
        <f ca="1">SUMIFS(OFFSET('BPC Data'!$F:$F,0,Summary!H$2),'BPC Data'!$E:$E,Summary!$D520,'BPC Data'!$B:$B,Summary!$C520)</f>
        <v>0</v>
      </c>
      <c r="I520" s="19">
        <f ca="1">SUMIFS(OFFSET('BPC Data'!$F:$F,0,Summary!I$2),'BPC Data'!$E:$E,Summary!$D520,'BPC Data'!$B:$B,Summary!$C520)</f>
        <v>0</v>
      </c>
      <c r="J520" s="183">
        <f ca="1">SUMIFS(OFFSET('BPC Data'!$F:$F,0,Summary!J$2),'BPC Data'!$E:$E,Summary!$D520,'BPC Data'!$B:$B,Summary!$C520)</f>
        <v>0</v>
      </c>
      <c r="K520" s="19">
        <f ca="1">SUMIFS(OFFSET('BPC Data'!$F:$F,0,Summary!K$2),'BPC Data'!$E:$E,Summary!$D520,'BPC Data'!$B:$B,Summary!$C520)</f>
        <v>0</v>
      </c>
      <c r="L520" s="183">
        <f ca="1">SUMIFS(OFFSET('BPC Data'!$F:$F,0,Summary!L$2),'BPC Data'!$E:$E,Summary!$D520,'BPC Data'!$B:$B,Summary!$C520)</f>
        <v>0</v>
      </c>
      <c r="M520" s="19">
        <f ca="1">SUMIFS(OFFSET('BPC Data'!$F:$F,0,Summary!M$2),'BPC Data'!$E:$E,Summary!$D520,'BPC Data'!$B:$B,Summary!$C520)</f>
        <v>0</v>
      </c>
      <c r="N520" s="183">
        <f ca="1">SUMIFS(OFFSET('BPC Data'!$F:$F,0,Summary!N$2),'BPC Data'!$E:$E,Summary!$D520,'BPC Data'!$B:$B,Summary!$C520)</f>
        <v>0</v>
      </c>
      <c r="O520" s="19">
        <f ca="1">SUMIFS(OFFSET('BPC Data'!$F:$F,0,Summary!O$2),'BPC Data'!$E:$E,Summary!$D520,'BPC Data'!$B:$B,Summary!$C520)</f>
        <v>0</v>
      </c>
      <c r="P520" s="183">
        <f ca="1">SUMIFS(OFFSET('BPC Data'!$F:$F,0,Summary!P$2),'BPC Data'!$E:$E,Summary!$D520,'BPC Data'!$B:$B,Summary!$C520)</f>
        <v>0</v>
      </c>
      <c r="Q520" s="19">
        <f ca="1">SUMIFS(OFFSET('BPC Data'!$F:$F,0,Summary!Q$2),'BPC Data'!$E:$E,Summary!$D520,'BPC Data'!$B:$B,Summary!$C520)</f>
        <v>0</v>
      </c>
      <c r="R520" s="183">
        <f ca="1">SUMIFS(OFFSET('BPC Data'!$F:$F,0,Summary!R$2),'BPC Data'!$E:$E,Summary!$D520,'BPC Data'!$B:$B,Summary!$C520)</f>
        <v>0</v>
      </c>
      <c r="S520" s="187">
        <f t="shared" ca="1" si="157"/>
        <v>0</v>
      </c>
      <c r="T520" s="181"/>
    </row>
    <row r="521" spans="1:20" s="17" customFormat="1" outlineLevel="1" x14ac:dyDescent="0.25">
      <c r="A521" s="17">
        <f t="shared" si="174"/>
        <v>47</v>
      </c>
      <c r="B521"/>
      <c r="C521" t="str">
        <f>$F515</f>
        <v>SHC at Glenview</v>
      </c>
      <c r="D521" s="2" t="str">
        <f t="shared" si="159"/>
        <v>T_EBITDARM - EBITDARM</v>
      </c>
      <c r="E521"/>
      <c r="F521" s="24" t="str">
        <f>_xll.EVDES(D521)</f>
        <v>EBITDARM</v>
      </c>
      <c r="G521" s="19">
        <f ca="1">SUMIFS(OFFSET('BPC Data'!$F:$F,0,Summary!G$2),'BPC Data'!$E:$E,Summary!$D521,'BPC Data'!$B:$B,Summary!$C521)</f>
        <v>0</v>
      </c>
      <c r="H521" s="183">
        <f ca="1">SUMIFS(OFFSET('BPC Data'!$F:$F,0,Summary!H$2),'BPC Data'!$E:$E,Summary!$D521,'BPC Data'!$B:$B,Summary!$C521)</f>
        <v>0</v>
      </c>
      <c r="I521" s="19">
        <f ca="1">SUMIFS(OFFSET('BPC Data'!$F:$F,0,Summary!I$2),'BPC Data'!$E:$E,Summary!$D521,'BPC Data'!$B:$B,Summary!$C521)</f>
        <v>0</v>
      </c>
      <c r="J521" s="183">
        <f ca="1">SUMIFS(OFFSET('BPC Data'!$F:$F,0,Summary!J$2),'BPC Data'!$E:$E,Summary!$D521,'BPC Data'!$B:$B,Summary!$C521)</f>
        <v>0</v>
      </c>
      <c r="K521" s="19">
        <f ca="1">SUMIFS(OFFSET('BPC Data'!$F:$F,0,Summary!K$2),'BPC Data'!$E:$E,Summary!$D521,'BPC Data'!$B:$B,Summary!$C521)</f>
        <v>0</v>
      </c>
      <c r="L521" s="183">
        <f ca="1">SUMIFS(OFFSET('BPC Data'!$F:$F,0,Summary!L$2),'BPC Data'!$E:$E,Summary!$D521,'BPC Data'!$B:$B,Summary!$C521)</f>
        <v>0</v>
      </c>
      <c r="M521" s="19">
        <f ca="1">SUMIFS(OFFSET('BPC Data'!$F:$F,0,Summary!M$2),'BPC Data'!$E:$E,Summary!$D521,'BPC Data'!$B:$B,Summary!$C521)</f>
        <v>0</v>
      </c>
      <c r="N521" s="183">
        <f ca="1">SUMIFS(OFFSET('BPC Data'!$F:$F,0,Summary!N$2),'BPC Data'!$E:$E,Summary!$D521,'BPC Data'!$B:$B,Summary!$C521)</f>
        <v>0</v>
      </c>
      <c r="O521" s="19">
        <f ca="1">SUMIFS(OFFSET('BPC Data'!$F:$F,0,Summary!O$2),'BPC Data'!$E:$E,Summary!$D521,'BPC Data'!$B:$B,Summary!$C521)</f>
        <v>0</v>
      </c>
      <c r="P521" s="183">
        <f ca="1">SUMIFS(OFFSET('BPC Data'!$F:$F,0,Summary!P$2),'BPC Data'!$E:$E,Summary!$D521,'BPC Data'!$B:$B,Summary!$C521)</f>
        <v>0</v>
      </c>
      <c r="Q521" s="19">
        <f ca="1">SUMIFS(OFFSET('BPC Data'!$F:$F,0,Summary!Q$2),'BPC Data'!$E:$E,Summary!$D521,'BPC Data'!$B:$B,Summary!$C521)</f>
        <v>0</v>
      </c>
      <c r="R521" s="183">
        <f ca="1">SUMIFS(OFFSET('BPC Data'!$F:$F,0,Summary!R$2),'BPC Data'!$E:$E,Summary!$D521,'BPC Data'!$B:$B,Summary!$C521)</f>
        <v>0</v>
      </c>
      <c r="S521" s="187">
        <f t="shared" ca="1" si="157"/>
        <v>0</v>
      </c>
      <c r="T521" s="181"/>
    </row>
    <row r="522" spans="1:20" s="17" customFormat="1" outlineLevel="1" x14ac:dyDescent="0.25">
      <c r="A522" s="17">
        <f t="shared" si="174"/>
        <v>47</v>
      </c>
      <c r="B522"/>
      <c r="C522" t="str">
        <f>$F515</f>
        <v>SHC at Glenview</v>
      </c>
      <c r="D522" s="2" t="str">
        <f t="shared" si="159"/>
        <v>T_MGMT_FEE - Tenant Management Fee - Actual</v>
      </c>
      <c r="E522"/>
      <c r="F522" s="24" t="str">
        <f>_xll.EVDES(D522)</f>
        <v>Tenant Management Fee - Actual</v>
      </c>
      <c r="G522" s="19">
        <f ca="1">SUMIFS(OFFSET('BPC Data'!$F:$F,0,Summary!G$2),'BPC Data'!$E:$E,Summary!$D522,'BPC Data'!$B:$B,Summary!$C522)</f>
        <v>0</v>
      </c>
      <c r="H522" s="183">
        <f ca="1">SUMIFS(OFFSET('BPC Data'!$F:$F,0,Summary!H$2),'BPC Data'!$E:$E,Summary!$D522,'BPC Data'!$B:$B,Summary!$C522)</f>
        <v>0</v>
      </c>
      <c r="I522" s="19">
        <f ca="1">SUMIFS(OFFSET('BPC Data'!$F:$F,0,Summary!I$2),'BPC Data'!$E:$E,Summary!$D522,'BPC Data'!$B:$B,Summary!$C522)</f>
        <v>0</v>
      </c>
      <c r="J522" s="183">
        <f ca="1">SUMIFS(OFFSET('BPC Data'!$F:$F,0,Summary!J$2),'BPC Data'!$E:$E,Summary!$D522,'BPC Data'!$B:$B,Summary!$C522)</f>
        <v>0</v>
      </c>
      <c r="K522" s="19">
        <f ca="1">SUMIFS(OFFSET('BPC Data'!$F:$F,0,Summary!K$2),'BPC Data'!$E:$E,Summary!$D522,'BPC Data'!$B:$B,Summary!$C522)</f>
        <v>0</v>
      </c>
      <c r="L522" s="183">
        <f ca="1">SUMIFS(OFFSET('BPC Data'!$F:$F,0,Summary!L$2),'BPC Data'!$E:$E,Summary!$D522,'BPC Data'!$B:$B,Summary!$C522)</f>
        <v>0</v>
      </c>
      <c r="M522" s="19">
        <f ca="1">SUMIFS(OFFSET('BPC Data'!$F:$F,0,Summary!M$2),'BPC Data'!$E:$E,Summary!$D522,'BPC Data'!$B:$B,Summary!$C522)</f>
        <v>0</v>
      </c>
      <c r="N522" s="183">
        <f ca="1">SUMIFS(OFFSET('BPC Data'!$F:$F,0,Summary!N$2),'BPC Data'!$E:$E,Summary!$D522,'BPC Data'!$B:$B,Summary!$C522)</f>
        <v>0</v>
      </c>
      <c r="O522" s="19">
        <f ca="1">SUMIFS(OFFSET('BPC Data'!$F:$F,0,Summary!O$2),'BPC Data'!$E:$E,Summary!$D522,'BPC Data'!$B:$B,Summary!$C522)</f>
        <v>0</v>
      </c>
      <c r="P522" s="183">
        <f ca="1">SUMIFS(OFFSET('BPC Data'!$F:$F,0,Summary!P$2),'BPC Data'!$E:$E,Summary!$D522,'BPC Data'!$B:$B,Summary!$C522)</f>
        <v>0</v>
      </c>
      <c r="Q522" s="19">
        <f ca="1">SUMIFS(OFFSET('BPC Data'!$F:$F,0,Summary!Q$2),'BPC Data'!$E:$E,Summary!$D522,'BPC Data'!$B:$B,Summary!$C522)</f>
        <v>0</v>
      </c>
      <c r="R522" s="183">
        <f ca="1">SUMIFS(OFFSET('BPC Data'!$F:$F,0,Summary!R$2),'BPC Data'!$E:$E,Summary!$D522,'BPC Data'!$B:$B,Summary!$C522)</f>
        <v>0</v>
      </c>
      <c r="S522" s="187">
        <f t="shared" ca="1" si="157"/>
        <v>0</v>
      </c>
      <c r="T522" s="181"/>
    </row>
    <row r="523" spans="1:20" s="17" customFormat="1" outlineLevel="1" x14ac:dyDescent="0.25">
      <c r="A523" s="17">
        <f t="shared" si="174"/>
        <v>47</v>
      </c>
      <c r="B523"/>
      <c r="C523" t="str">
        <f>$F515</f>
        <v>SHC at Glenview</v>
      </c>
      <c r="D523" s="1" t="str">
        <f t="shared" si="159"/>
        <v>T_EBITDAR - EBITDAR</v>
      </c>
      <c r="E523"/>
      <c r="F523" s="24" t="str">
        <f>_xll.EVDES(D523)</f>
        <v>EBITDAR</v>
      </c>
      <c r="G523" s="19">
        <f ca="1">SUMIFS(OFFSET('BPC Data'!$F:$F,0,Summary!G$2),'BPC Data'!$E:$E,Summary!$D523,'BPC Data'!$B:$B,Summary!$C523)</f>
        <v>0</v>
      </c>
      <c r="H523" s="183">
        <f ca="1">SUMIFS(OFFSET('BPC Data'!$F:$F,0,Summary!H$2),'BPC Data'!$E:$E,Summary!$D523,'BPC Data'!$B:$B,Summary!$C523)</f>
        <v>0</v>
      </c>
      <c r="I523" s="19">
        <f ca="1">SUMIFS(OFFSET('BPC Data'!$F:$F,0,Summary!I$2),'BPC Data'!$E:$E,Summary!$D523,'BPC Data'!$B:$B,Summary!$C523)</f>
        <v>0</v>
      </c>
      <c r="J523" s="183">
        <f ca="1">SUMIFS(OFFSET('BPC Data'!$F:$F,0,Summary!J$2),'BPC Data'!$E:$E,Summary!$D523,'BPC Data'!$B:$B,Summary!$C523)</f>
        <v>0</v>
      </c>
      <c r="K523" s="19">
        <f ca="1">SUMIFS(OFFSET('BPC Data'!$F:$F,0,Summary!K$2),'BPC Data'!$E:$E,Summary!$D523,'BPC Data'!$B:$B,Summary!$C523)</f>
        <v>0</v>
      </c>
      <c r="L523" s="183">
        <f ca="1">SUMIFS(OFFSET('BPC Data'!$F:$F,0,Summary!L$2),'BPC Data'!$E:$E,Summary!$D523,'BPC Data'!$B:$B,Summary!$C523)</f>
        <v>0</v>
      </c>
      <c r="M523" s="19">
        <f ca="1">SUMIFS(OFFSET('BPC Data'!$F:$F,0,Summary!M$2),'BPC Data'!$E:$E,Summary!$D523,'BPC Data'!$B:$B,Summary!$C523)</f>
        <v>0</v>
      </c>
      <c r="N523" s="183">
        <f ca="1">SUMIFS(OFFSET('BPC Data'!$F:$F,0,Summary!N$2),'BPC Data'!$E:$E,Summary!$D523,'BPC Data'!$B:$B,Summary!$C523)</f>
        <v>0</v>
      </c>
      <c r="O523" s="19">
        <f ca="1">SUMIFS(OFFSET('BPC Data'!$F:$F,0,Summary!O$2),'BPC Data'!$E:$E,Summary!$D523,'BPC Data'!$B:$B,Summary!$C523)</f>
        <v>0</v>
      </c>
      <c r="P523" s="183">
        <f ca="1">SUMIFS(OFFSET('BPC Data'!$F:$F,0,Summary!P$2),'BPC Data'!$E:$E,Summary!$D523,'BPC Data'!$B:$B,Summary!$C523)</f>
        <v>0</v>
      </c>
      <c r="Q523" s="19">
        <f ca="1">SUMIFS(OFFSET('BPC Data'!$F:$F,0,Summary!Q$2),'BPC Data'!$E:$E,Summary!$D523,'BPC Data'!$B:$B,Summary!$C523)</f>
        <v>0</v>
      </c>
      <c r="R523" s="183">
        <f ca="1">SUMIFS(OFFSET('BPC Data'!$F:$F,0,Summary!R$2),'BPC Data'!$E:$E,Summary!$D523,'BPC Data'!$B:$B,Summary!$C523)</f>
        <v>0</v>
      </c>
      <c r="S523" s="187">
        <f t="shared" ref="S523:S558" ca="1" si="175">SUM(G523:R523)</f>
        <v>0</v>
      </c>
      <c r="T523" s="181"/>
    </row>
    <row r="524" spans="1:20" s="17" customFormat="1" outlineLevel="1" x14ac:dyDescent="0.25">
      <c r="A524" s="17">
        <f t="shared" si="174"/>
        <v>47</v>
      </c>
      <c r="B524"/>
      <c r="C524" t="str">
        <f>$F515</f>
        <v>SHC at Glenview</v>
      </c>
      <c r="D524" s="1" t="str">
        <f t="shared" si="159"/>
        <v>T_RENT_EXP - Tenant Rent Expense</v>
      </c>
      <c r="E524"/>
      <c r="F524" s="24" t="str">
        <f>_xll.EVDES(D524)</f>
        <v>Tenant Rent Expense</v>
      </c>
      <c r="G524" s="19">
        <f ca="1">SUMIFS(OFFSET('BPC Data'!$F:$F,0,Summary!G$2),'BPC Data'!$E:$E,Summary!$D524,'BPC Data'!$B:$B,Summary!$C524)</f>
        <v>0</v>
      </c>
      <c r="H524" s="183">
        <f ca="1">SUMIFS(OFFSET('BPC Data'!$F:$F,0,Summary!H$2),'BPC Data'!$E:$E,Summary!$D524,'BPC Data'!$B:$B,Summary!$C524)</f>
        <v>0</v>
      </c>
      <c r="I524" s="19">
        <f ca="1">SUMIFS(OFFSET('BPC Data'!$F:$F,0,Summary!I$2),'BPC Data'!$E:$E,Summary!$D524,'BPC Data'!$B:$B,Summary!$C524)</f>
        <v>0</v>
      </c>
      <c r="J524" s="183">
        <f ca="1">SUMIFS(OFFSET('BPC Data'!$F:$F,0,Summary!J$2),'BPC Data'!$E:$E,Summary!$D524,'BPC Data'!$B:$B,Summary!$C524)</f>
        <v>0</v>
      </c>
      <c r="K524" s="19">
        <f ca="1">SUMIFS(OFFSET('BPC Data'!$F:$F,0,Summary!K$2),'BPC Data'!$E:$E,Summary!$D524,'BPC Data'!$B:$B,Summary!$C524)</f>
        <v>0</v>
      </c>
      <c r="L524" s="183">
        <f ca="1">SUMIFS(OFFSET('BPC Data'!$F:$F,0,Summary!L$2),'BPC Data'!$E:$E,Summary!$D524,'BPC Data'!$B:$B,Summary!$C524)</f>
        <v>0</v>
      </c>
      <c r="M524" s="19">
        <f ca="1">SUMIFS(OFFSET('BPC Data'!$F:$F,0,Summary!M$2),'BPC Data'!$E:$E,Summary!$D524,'BPC Data'!$B:$B,Summary!$C524)</f>
        <v>0</v>
      </c>
      <c r="N524" s="183">
        <f ca="1">SUMIFS(OFFSET('BPC Data'!$F:$F,0,Summary!N$2),'BPC Data'!$E:$E,Summary!$D524,'BPC Data'!$B:$B,Summary!$C524)</f>
        <v>0</v>
      </c>
      <c r="O524" s="19">
        <f ca="1">SUMIFS(OFFSET('BPC Data'!$F:$F,0,Summary!O$2),'BPC Data'!$E:$E,Summary!$D524,'BPC Data'!$B:$B,Summary!$C524)</f>
        <v>0</v>
      </c>
      <c r="P524" s="183">
        <f ca="1">SUMIFS(OFFSET('BPC Data'!$F:$F,0,Summary!P$2),'BPC Data'!$E:$E,Summary!$D524,'BPC Data'!$B:$B,Summary!$C524)</f>
        <v>0</v>
      </c>
      <c r="Q524" s="19">
        <f ca="1">SUMIFS(OFFSET('BPC Data'!$F:$F,0,Summary!Q$2),'BPC Data'!$E:$E,Summary!$D524,'BPC Data'!$B:$B,Summary!$C524)</f>
        <v>0</v>
      </c>
      <c r="R524" s="183">
        <f ca="1">SUMIFS(OFFSET('BPC Data'!$F:$F,0,Summary!R$2),'BPC Data'!$E:$E,Summary!$D524,'BPC Data'!$B:$B,Summary!$C524)</f>
        <v>0</v>
      </c>
      <c r="S524" s="187">
        <f t="shared" ca="1" si="175"/>
        <v>0</v>
      </c>
      <c r="T524" s="181"/>
    </row>
    <row r="525" spans="1:20" s="17" customFormat="1" outlineLevel="1" x14ac:dyDescent="0.25">
      <c r="A525" s="17">
        <f t="shared" si="174"/>
        <v>47</v>
      </c>
      <c r="B525"/>
      <c r="C525"/>
      <c r="D525" s="1" t="str">
        <f t="shared" si="159"/>
        <v>x</v>
      </c>
      <c r="E525"/>
      <c r="F525" s="24" t="s">
        <v>0</v>
      </c>
      <c r="G525" s="12" t="e">
        <f ca="1">G523/G524</f>
        <v>#DIV/0!</v>
      </c>
      <c r="H525" s="184" t="e">
        <f t="shared" ref="H525:I525" ca="1" si="176">H523/H524</f>
        <v>#DIV/0!</v>
      </c>
      <c r="I525" s="12" t="e">
        <f t="shared" ca="1" si="176"/>
        <v>#DIV/0!</v>
      </c>
      <c r="J525" s="184" t="e">
        <f t="shared" ref="J525:R525" ca="1" si="177">J523/J524</f>
        <v>#DIV/0!</v>
      </c>
      <c r="K525" s="12" t="e">
        <f t="shared" ca="1" si="177"/>
        <v>#DIV/0!</v>
      </c>
      <c r="L525" s="184" t="e">
        <f t="shared" ca="1" si="177"/>
        <v>#DIV/0!</v>
      </c>
      <c r="M525" s="12" t="e">
        <f t="shared" ca="1" si="177"/>
        <v>#DIV/0!</v>
      </c>
      <c r="N525" s="184" t="e">
        <f t="shared" ca="1" si="177"/>
        <v>#DIV/0!</v>
      </c>
      <c r="O525" s="12" t="e">
        <f t="shared" ca="1" si="177"/>
        <v>#DIV/0!</v>
      </c>
      <c r="P525" s="184" t="e">
        <f t="shared" ca="1" si="177"/>
        <v>#DIV/0!</v>
      </c>
      <c r="Q525" s="12" t="e">
        <f t="shared" ca="1" si="177"/>
        <v>#DIV/0!</v>
      </c>
      <c r="R525" s="184" t="e">
        <f t="shared" ca="1" si="177"/>
        <v>#DIV/0!</v>
      </c>
      <c r="S525" s="187" t="e">
        <f t="shared" ca="1" si="175"/>
        <v>#DIV/0!</v>
      </c>
      <c r="T525" s="181"/>
    </row>
    <row r="526" spans="1:20" s="17" customFormat="1" outlineLevel="1" x14ac:dyDescent="0.25">
      <c r="A526" s="17">
        <f>IF(AND(D526&lt;&gt;"",C526=""),A525+1,A525)</f>
        <v>48</v>
      </c>
      <c r="B526" s="5"/>
      <c r="C526" s="5"/>
      <c r="D526" s="5" t="str">
        <f t="shared" si="159"/>
        <v>x</v>
      </c>
      <c r="E526" s="5"/>
      <c r="F526" s="23" t="str">
        <f>INDEX(PropertyList!$D:$D,MATCH(Summary!$A526,PropertyList!$C:$C,0))</f>
        <v>Minerva Park Healthcare and Rehab Center</v>
      </c>
      <c r="G526" s="11"/>
      <c r="H526" s="182"/>
      <c r="I526" s="11"/>
      <c r="J526" s="182"/>
      <c r="K526" s="11"/>
      <c r="L526" s="182"/>
      <c r="M526" s="11"/>
      <c r="N526" s="182"/>
      <c r="O526" s="11"/>
      <c r="P526" s="182"/>
      <c r="Q526" s="11"/>
      <c r="R526" s="182"/>
      <c r="S526" s="187">
        <f t="shared" si="175"/>
        <v>0</v>
      </c>
      <c r="T526" s="181"/>
    </row>
    <row r="527" spans="1:20" s="17" customFormat="1" outlineLevel="1" x14ac:dyDescent="0.25">
      <c r="A527" s="17">
        <f>IF(AND(F527&lt;&gt;"",D527=""),A526+1,A526)</f>
        <v>48</v>
      </c>
      <c r="C527" t="str">
        <f>$F526</f>
        <v>Minerva Park Healthcare and Rehab Center</v>
      </c>
      <c r="D527" s="3" t="str">
        <f t="shared" si="159"/>
        <v>PAY_PAT_DAYS - Total Payor Patient Days</v>
      </c>
      <c r="F527" s="24" t="str">
        <f>_xll.EVDES(D527)</f>
        <v>Total Payor Patient Days</v>
      </c>
      <c r="G527" s="19">
        <f ca="1">SUMIFS(OFFSET('BPC Data'!$F:$F,0,Summary!G$2),'BPC Data'!$E:$E,Summary!$D527,'BPC Data'!$B:$B,Summary!$C527)</f>
        <v>0</v>
      </c>
      <c r="H527" s="183">
        <f ca="1">SUMIFS(OFFSET('BPC Data'!$F:$F,0,Summary!H$2),'BPC Data'!$E:$E,Summary!$D527,'BPC Data'!$B:$B,Summary!$C527)</f>
        <v>0</v>
      </c>
      <c r="I527" s="19">
        <f ca="1">SUMIFS(OFFSET('BPC Data'!$F:$F,0,Summary!I$2),'BPC Data'!$E:$E,Summary!$D527,'BPC Data'!$B:$B,Summary!$C527)</f>
        <v>0</v>
      </c>
      <c r="J527" s="183">
        <f ca="1">SUMIFS(OFFSET('BPC Data'!$F:$F,0,Summary!J$2),'BPC Data'!$E:$E,Summary!$D527,'BPC Data'!$B:$B,Summary!$C527)</f>
        <v>0</v>
      </c>
      <c r="K527" s="19">
        <f ca="1">SUMIFS(OFFSET('BPC Data'!$F:$F,0,Summary!K$2),'BPC Data'!$E:$E,Summary!$D527,'BPC Data'!$B:$B,Summary!$C527)</f>
        <v>0</v>
      </c>
      <c r="L527" s="183">
        <f ca="1">SUMIFS(OFFSET('BPC Data'!$F:$F,0,Summary!L$2),'BPC Data'!$E:$E,Summary!$D527,'BPC Data'!$B:$B,Summary!$C527)</f>
        <v>0</v>
      </c>
      <c r="M527" s="19">
        <f ca="1">SUMIFS(OFFSET('BPC Data'!$F:$F,0,Summary!M$2),'BPC Data'!$E:$E,Summary!$D527,'BPC Data'!$B:$B,Summary!$C527)</f>
        <v>0</v>
      </c>
      <c r="N527" s="183">
        <f ca="1">SUMIFS(OFFSET('BPC Data'!$F:$F,0,Summary!N$2),'BPC Data'!$E:$E,Summary!$D527,'BPC Data'!$B:$B,Summary!$C527)</f>
        <v>0</v>
      </c>
      <c r="O527" s="19">
        <f ca="1">SUMIFS(OFFSET('BPC Data'!$F:$F,0,Summary!O$2),'BPC Data'!$E:$E,Summary!$D527,'BPC Data'!$B:$B,Summary!$C527)</f>
        <v>0</v>
      </c>
      <c r="P527" s="183">
        <f ca="1">SUMIFS(OFFSET('BPC Data'!$F:$F,0,Summary!P$2),'BPC Data'!$E:$E,Summary!$D527,'BPC Data'!$B:$B,Summary!$C527)</f>
        <v>0</v>
      </c>
      <c r="Q527" s="19">
        <f ca="1">SUMIFS(OFFSET('BPC Data'!$F:$F,0,Summary!Q$2),'BPC Data'!$E:$E,Summary!$D527,'BPC Data'!$B:$B,Summary!$C527)</f>
        <v>0</v>
      </c>
      <c r="R527" s="183">
        <f ca="1">SUMIFS(OFFSET('BPC Data'!$F:$F,0,Summary!R$2),'BPC Data'!$E:$E,Summary!$D527,'BPC Data'!$B:$B,Summary!$C527)</f>
        <v>0</v>
      </c>
      <c r="S527" s="187">
        <f t="shared" ca="1" si="175"/>
        <v>0</v>
      </c>
      <c r="T527" s="181"/>
    </row>
    <row r="528" spans="1:20" s="17" customFormat="1" outlineLevel="1" x14ac:dyDescent="0.25">
      <c r="A528" s="17">
        <f t="shared" ref="A528:A536" si="178">IF(AND(F528&lt;&gt;"",D528=""),A527+1,A527)</f>
        <v>48</v>
      </c>
      <c r="C528" t="str">
        <f>$F526</f>
        <v>Minerva Park Healthcare and Rehab Center</v>
      </c>
      <c r="D528" s="3" t="str">
        <f t="shared" si="159"/>
        <v>A_BEDS_TOTAL - Total Available Beds</v>
      </c>
      <c r="F528" s="24" t="str">
        <f>_xll.EVDES(D528)</f>
        <v>Total Available Beds</v>
      </c>
      <c r="G528" s="19">
        <f ca="1">SUMIFS(OFFSET('BPC Data'!$F:$F,0,Summary!G$2),'BPC Data'!$E:$E,Summary!$D528,'BPC Data'!$B:$B,Summary!$C528)</f>
        <v>0</v>
      </c>
      <c r="H528" s="183">
        <f ca="1">SUMIFS(OFFSET('BPC Data'!$F:$F,0,Summary!H$2),'BPC Data'!$E:$E,Summary!$D528,'BPC Data'!$B:$B,Summary!$C528)</f>
        <v>0</v>
      </c>
      <c r="I528" s="19">
        <f ca="1">SUMIFS(OFFSET('BPC Data'!$F:$F,0,Summary!I$2),'BPC Data'!$E:$E,Summary!$D528,'BPC Data'!$B:$B,Summary!$C528)</f>
        <v>0</v>
      </c>
      <c r="J528" s="183">
        <f ca="1">SUMIFS(OFFSET('BPC Data'!$F:$F,0,Summary!J$2),'BPC Data'!$E:$E,Summary!$D528,'BPC Data'!$B:$B,Summary!$C528)</f>
        <v>0</v>
      </c>
      <c r="K528" s="19">
        <f ca="1">SUMIFS(OFFSET('BPC Data'!$F:$F,0,Summary!K$2),'BPC Data'!$E:$E,Summary!$D528,'BPC Data'!$B:$B,Summary!$C528)</f>
        <v>0</v>
      </c>
      <c r="L528" s="183">
        <f ca="1">SUMIFS(OFFSET('BPC Data'!$F:$F,0,Summary!L$2),'BPC Data'!$E:$E,Summary!$D528,'BPC Data'!$B:$B,Summary!$C528)</f>
        <v>0</v>
      </c>
      <c r="M528" s="19">
        <f ca="1">SUMIFS(OFFSET('BPC Data'!$F:$F,0,Summary!M$2),'BPC Data'!$E:$E,Summary!$D528,'BPC Data'!$B:$B,Summary!$C528)</f>
        <v>0</v>
      </c>
      <c r="N528" s="183">
        <f ca="1">SUMIFS(OFFSET('BPC Data'!$F:$F,0,Summary!N$2),'BPC Data'!$E:$E,Summary!$D528,'BPC Data'!$B:$B,Summary!$C528)</f>
        <v>0</v>
      </c>
      <c r="O528" s="19">
        <f ca="1">SUMIFS(OFFSET('BPC Data'!$F:$F,0,Summary!O$2),'BPC Data'!$E:$E,Summary!$D528,'BPC Data'!$B:$B,Summary!$C528)</f>
        <v>0</v>
      </c>
      <c r="P528" s="183">
        <f ca="1">SUMIFS(OFFSET('BPC Data'!$F:$F,0,Summary!P$2),'BPC Data'!$E:$E,Summary!$D528,'BPC Data'!$B:$B,Summary!$C528)</f>
        <v>0</v>
      </c>
      <c r="Q528" s="19">
        <f ca="1">SUMIFS(OFFSET('BPC Data'!$F:$F,0,Summary!Q$2),'BPC Data'!$E:$E,Summary!$D528,'BPC Data'!$B:$B,Summary!$C528)</f>
        <v>0</v>
      </c>
      <c r="R528" s="183">
        <f ca="1">SUMIFS(OFFSET('BPC Data'!$F:$F,0,Summary!R$2),'BPC Data'!$E:$E,Summary!$D528,'BPC Data'!$B:$B,Summary!$C528)</f>
        <v>0</v>
      </c>
      <c r="S528" s="187">
        <f ca="1">R528</f>
        <v>0</v>
      </c>
      <c r="T528" s="181"/>
    </row>
    <row r="529" spans="1:20" s="17" customFormat="1" outlineLevel="1" x14ac:dyDescent="0.25">
      <c r="A529" s="17">
        <f t="shared" si="178"/>
        <v>48</v>
      </c>
      <c r="B529"/>
      <c r="C529" t="str">
        <f>$F526</f>
        <v>Minerva Park Healthcare and Rehab Center</v>
      </c>
      <c r="D529" s="3" t="str">
        <f t="shared" si="159"/>
        <v>T_REVENUES - Total Tenant Revenues</v>
      </c>
      <c r="E529"/>
      <c r="F529" s="24" t="str">
        <f>_xll.EVDES(D529)</f>
        <v>Total Tenant Revenues</v>
      </c>
      <c r="G529" s="19">
        <f ca="1">SUMIFS(OFFSET('BPC Data'!$F:$F,0,Summary!G$2),'BPC Data'!$E:$E,Summary!$D529,'BPC Data'!$B:$B,Summary!$C529)</f>
        <v>0</v>
      </c>
      <c r="H529" s="183">
        <f ca="1">SUMIFS(OFFSET('BPC Data'!$F:$F,0,Summary!H$2),'BPC Data'!$E:$E,Summary!$D529,'BPC Data'!$B:$B,Summary!$C529)</f>
        <v>0</v>
      </c>
      <c r="I529" s="19">
        <f ca="1">SUMIFS(OFFSET('BPC Data'!$F:$F,0,Summary!I$2),'BPC Data'!$E:$E,Summary!$D529,'BPC Data'!$B:$B,Summary!$C529)</f>
        <v>0</v>
      </c>
      <c r="J529" s="183">
        <f ca="1">SUMIFS(OFFSET('BPC Data'!$F:$F,0,Summary!J$2),'BPC Data'!$E:$E,Summary!$D529,'BPC Data'!$B:$B,Summary!$C529)</f>
        <v>0</v>
      </c>
      <c r="K529" s="19">
        <f ca="1">SUMIFS(OFFSET('BPC Data'!$F:$F,0,Summary!K$2),'BPC Data'!$E:$E,Summary!$D529,'BPC Data'!$B:$B,Summary!$C529)</f>
        <v>0</v>
      </c>
      <c r="L529" s="183">
        <f ca="1">SUMIFS(OFFSET('BPC Data'!$F:$F,0,Summary!L$2),'BPC Data'!$E:$E,Summary!$D529,'BPC Data'!$B:$B,Summary!$C529)</f>
        <v>0</v>
      </c>
      <c r="M529" s="19">
        <f ca="1">SUMIFS(OFFSET('BPC Data'!$F:$F,0,Summary!M$2),'BPC Data'!$E:$E,Summary!$D529,'BPC Data'!$B:$B,Summary!$C529)</f>
        <v>0</v>
      </c>
      <c r="N529" s="183">
        <f ca="1">SUMIFS(OFFSET('BPC Data'!$F:$F,0,Summary!N$2),'BPC Data'!$E:$E,Summary!$D529,'BPC Data'!$B:$B,Summary!$C529)</f>
        <v>0</v>
      </c>
      <c r="O529" s="19">
        <f ca="1">SUMIFS(OFFSET('BPC Data'!$F:$F,0,Summary!O$2),'BPC Data'!$E:$E,Summary!$D529,'BPC Data'!$B:$B,Summary!$C529)</f>
        <v>0</v>
      </c>
      <c r="P529" s="183">
        <f ca="1">SUMIFS(OFFSET('BPC Data'!$F:$F,0,Summary!P$2),'BPC Data'!$E:$E,Summary!$D529,'BPC Data'!$B:$B,Summary!$C529)</f>
        <v>0</v>
      </c>
      <c r="Q529" s="19">
        <f ca="1">SUMIFS(OFFSET('BPC Data'!$F:$F,0,Summary!Q$2),'BPC Data'!$E:$E,Summary!$D529,'BPC Data'!$B:$B,Summary!$C529)</f>
        <v>0</v>
      </c>
      <c r="R529" s="183">
        <f ca="1">SUMIFS(OFFSET('BPC Data'!$F:$F,0,Summary!R$2),'BPC Data'!$E:$E,Summary!$D529,'BPC Data'!$B:$B,Summary!$C529)</f>
        <v>0</v>
      </c>
      <c r="S529" s="187">
        <f t="shared" ca="1" si="175"/>
        <v>0</v>
      </c>
      <c r="T529" s="181"/>
    </row>
    <row r="530" spans="1:20" s="17" customFormat="1" outlineLevel="1" x14ac:dyDescent="0.25">
      <c r="A530" s="17">
        <f t="shared" si="178"/>
        <v>48</v>
      </c>
      <c r="B530"/>
      <c r="C530" t="str">
        <f>$F526</f>
        <v>Minerva Park Healthcare and Rehab Center</v>
      </c>
      <c r="D530" s="3" t="str">
        <f t="shared" si="159"/>
        <v>T_OPEX - Tenant Operating Expenses</v>
      </c>
      <c r="E530"/>
      <c r="F530" s="24" t="str">
        <f>_xll.EVDES(D530)</f>
        <v>Tenant Operating Expenses</v>
      </c>
      <c r="G530" s="19">
        <f ca="1">SUMIFS(OFFSET('BPC Data'!$F:$F,0,Summary!G$2),'BPC Data'!$E:$E,Summary!$D530,'BPC Data'!$B:$B,Summary!$C530)</f>
        <v>0</v>
      </c>
      <c r="H530" s="183">
        <f ca="1">SUMIFS(OFFSET('BPC Data'!$F:$F,0,Summary!H$2),'BPC Data'!$E:$E,Summary!$D530,'BPC Data'!$B:$B,Summary!$C530)</f>
        <v>0</v>
      </c>
      <c r="I530" s="19">
        <f ca="1">SUMIFS(OFFSET('BPC Data'!$F:$F,0,Summary!I$2),'BPC Data'!$E:$E,Summary!$D530,'BPC Data'!$B:$B,Summary!$C530)</f>
        <v>0</v>
      </c>
      <c r="J530" s="183">
        <f ca="1">SUMIFS(OFFSET('BPC Data'!$F:$F,0,Summary!J$2),'BPC Data'!$E:$E,Summary!$D530,'BPC Data'!$B:$B,Summary!$C530)</f>
        <v>0</v>
      </c>
      <c r="K530" s="19">
        <f ca="1">SUMIFS(OFFSET('BPC Data'!$F:$F,0,Summary!K$2),'BPC Data'!$E:$E,Summary!$D530,'BPC Data'!$B:$B,Summary!$C530)</f>
        <v>0</v>
      </c>
      <c r="L530" s="183">
        <f ca="1">SUMIFS(OFFSET('BPC Data'!$F:$F,0,Summary!L$2),'BPC Data'!$E:$E,Summary!$D530,'BPC Data'!$B:$B,Summary!$C530)</f>
        <v>0</v>
      </c>
      <c r="M530" s="19">
        <f ca="1">SUMIFS(OFFSET('BPC Data'!$F:$F,0,Summary!M$2),'BPC Data'!$E:$E,Summary!$D530,'BPC Data'!$B:$B,Summary!$C530)</f>
        <v>0</v>
      </c>
      <c r="N530" s="183">
        <f ca="1">SUMIFS(OFFSET('BPC Data'!$F:$F,0,Summary!N$2),'BPC Data'!$E:$E,Summary!$D530,'BPC Data'!$B:$B,Summary!$C530)</f>
        <v>0</v>
      </c>
      <c r="O530" s="19">
        <f ca="1">SUMIFS(OFFSET('BPC Data'!$F:$F,0,Summary!O$2),'BPC Data'!$E:$E,Summary!$D530,'BPC Data'!$B:$B,Summary!$C530)</f>
        <v>0</v>
      </c>
      <c r="P530" s="183">
        <f ca="1">SUMIFS(OFFSET('BPC Data'!$F:$F,0,Summary!P$2),'BPC Data'!$E:$E,Summary!$D530,'BPC Data'!$B:$B,Summary!$C530)</f>
        <v>0</v>
      </c>
      <c r="Q530" s="19">
        <f ca="1">SUMIFS(OFFSET('BPC Data'!$F:$F,0,Summary!Q$2),'BPC Data'!$E:$E,Summary!$D530,'BPC Data'!$B:$B,Summary!$C530)</f>
        <v>0</v>
      </c>
      <c r="R530" s="183">
        <f ca="1">SUMIFS(OFFSET('BPC Data'!$F:$F,0,Summary!R$2),'BPC Data'!$E:$E,Summary!$D530,'BPC Data'!$B:$B,Summary!$C530)</f>
        <v>0</v>
      </c>
      <c r="S530" s="187">
        <f t="shared" ca="1" si="175"/>
        <v>0</v>
      </c>
      <c r="T530" s="181"/>
    </row>
    <row r="531" spans="1:20" s="17" customFormat="1" outlineLevel="1" x14ac:dyDescent="0.25">
      <c r="A531" s="17">
        <f t="shared" si="178"/>
        <v>48</v>
      </c>
      <c r="B531"/>
      <c r="C531" t="str">
        <f>$F526</f>
        <v>Minerva Park Healthcare and Rehab Center</v>
      </c>
      <c r="D531" s="3" t="str">
        <f t="shared" si="159"/>
        <v>T_BAD_DEBT - Tenant Bad Debt Expense</v>
      </c>
      <c r="E531"/>
      <c r="F531" s="24" t="str">
        <f>_xll.EVDES(D531)</f>
        <v>Tenant Bad Debt Expense</v>
      </c>
      <c r="G531" s="19">
        <f ca="1">SUMIFS(OFFSET('BPC Data'!$F:$F,0,Summary!G$2),'BPC Data'!$E:$E,Summary!$D531,'BPC Data'!$B:$B,Summary!$C531)</f>
        <v>0</v>
      </c>
      <c r="H531" s="183">
        <f ca="1">SUMIFS(OFFSET('BPC Data'!$F:$F,0,Summary!H$2),'BPC Data'!$E:$E,Summary!$D531,'BPC Data'!$B:$B,Summary!$C531)</f>
        <v>0</v>
      </c>
      <c r="I531" s="19">
        <f ca="1">SUMIFS(OFFSET('BPC Data'!$F:$F,0,Summary!I$2),'BPC Data'!$E:$E,Summary!$D531,'BPC Data'!$B:$B,Summary!$C531)</f>
        <v>0</v>
      </c>
      <c r="J531" s="183">
        <f ca="1">SUMIFS(OFFSET('BPC Data'!$F:$F,0,Summary!J$2),'BPC Data'!$E:$E,Summary!$D531,'BPC Data'!$B:$B,Summary!$C531)</f>
        <v>0</v>
      </c>
      <c r="K531" s="19">
        <f ca="1">SUMIFS(OFFSET('BPC Data'!$F:$F,0,Summary!K$2),'BPC Data'!$E:$E,Summary!$D531,'BPC Data'!$B:$B,Summary!$C531)</f>
        <v>0</v>
      </c>
      <c r="L531" s="183">
        <f ca="1">SUMIFS(OFFSET('BPC Data'!$F:$F,0,Summary!L$2),'BPC Data'!$E:$E,Summary!$D531,'BPC Data'!$B:$B,Summary!$C531)</f>
        <v>0</v>
      </c>
      <c r="M531" s="19">
        <f ca="1">SUMIFS(OFFSET('BPC Data'!$F:$F,0,Summary!M$2),'BPC Data'!$E:$E,Summary!$D531,'BPC Data'!$B:$B,Summary!$C531)</f>
        <v>0</v>
      </c>
      <c r="N531" s="183">
        <f ca="1">SUMIFS(OFFSET('BPC Data'!$F:$F,0,Summary!N$2),'BPC Data'!$E:$E,Summary!$D531,'BPC Data'!$B:$B,Summary!$C531)</f>
        <v>0</v>
      </c>
      <c r="O531" s="19">
        <f ca="1">SUMIFS(OFFSET('BPC Data'!$F:$F,0,Summary!O$2),'BPC Data'!$E:$E,Summary!$D531,'BPC Data'!$B:$B,Summary!$C531)</f>
        <v>0</v>
      </c>
      <c r="P531" s="183">
        <f ca="1">SUMIFS(OFFSET('BPC Data'!$F:$F,0,Summary!P$2),'BPC Data'!$E:$E,Summary!$D531,'BPC Data'!$B:$B,Summary!$C531)</f>
        <v>0</v>
      </c>
      <c r="Q531" s="19">
        <f ca="1">SUMIFS(OFFSET('BPC Data'!$F:$F,0,Summary!Q$2),'BPC Data'!$E:$E,Summary!$D531,'BPC Data'!$B:$B,Summary!$C531)</f>
        <v>0</v>
      </c>
      <c r="R531" s="183">
        <f ca="1">SUMIFS(OFFSET('BPC Data'!$F:$F,0,Summary!R$2),'BPC Data'!$E:$E,Summary!$D531,'BPC Data'!$B:$B,Summary!$C531)</f>
        <v>0</v>
      </c>
      <c r="S531" s="187">
        <f t="shared" ca="1" si="175"/>
        <v>0</v>
      </c>
      <c r="T531" s="181"/>
    </row>
    <row r="532" spans="1:20" s="17" customFormat="1" outlineLevel="1" x14ac:dyDescent="0.25">
      <c r="A532" s="17">
        <f t="shared" si="178"/>
        <v>48</v>
      </c>
      <c r="B532"/>
      <c r="C532" t="str">
        <f>$F526</f>
        <v>Minerva Park Healthcare and Rehab Center</v>
      </c>
      <c r="D532" s="2" t="str">
        <f t="shared" si="159"/>
        <v>T_EBITDARM - EBITDARM</v>
      </c>
      <c r="E532"/>
      <c r="F532" s="24" t="str">
        <f>_xll.EVDES(D532)</f>
        <v>EBITDARM</v>
      </c>
      <c r="G532" s="19">
        <f ca="1">SUMIFS(OFFSET('BPC Data'!$F:$F,0,Summary!G$2),'BPC Data'!$E:$E,Summary!$D532,'BPC Data'!$B:$B,Summary!$C532)</f>
        <v>0</v>
      </c>
      <c r="H532" s="183">
        <f ca="1">SUMIFS(OFFSET('BPC Data'!$F:$F,0,Summary!H$2),'BPC Data'!$E:$E,Summary!$D532,'BPC Data'!$B:$B,Summary!$C532)</f>
        <v>0</v>
      </c>
      <c r="I532" s="19">
        <f ca="1">SUMIFS(OFFSET('BPC Data'!$F:$F,0,Summary!I$2),'BPC Data'!$E:$E,Summary!$D532,'BPC Data'!$B:$B,Summary!$C532)</f>
        <v>0</v>
      </c>
      <c r="J532" s="183">
        <f ca="1">SUMIFS(OFFSET('BPC Data'!$F:$F,0,Summary!J$2),'BPC Data'!$E:$E,Summary!$D532,'BPC Data'!$B:$B,Summary!$C532)</f>
        <v>0</v>
      </c>
      <c r="K532" s="19">
        <f ca="1">SUMIFS(OFFSET('BPC Data'!$F:$F,0,Summary!K$2),'BPC Data'!$E:$E,Summary!$D532,'BPC Data'!$B:$B,Summary!$C532)</f>
        <v>0</v>
      </c>
      <c r="L532" s="183">
        <f ca="1">SUMIFS(OFFSET('BPC Data'!$F:$F,0,Summary!L$2),'BPC Data'!$E:$E,Summary!$D532,'BPC Data'!$B:$B,Summary!$C532)</f>
        <v>0</v>
      </c>
      <c r="M532" s="19">
        <f ca="1">SUMIFS(OFFSET('BPC Data'!$F:$F,0,Summary!M$2),'BPC Data'!$E:$E,Summary!$D532,'BPC Data'!$B:$B,Summary!$C532)</f>
        <v>0</v>
      </c>
      <c r="N532" s="183">
        <f ca="1">SUMIFS(OFFSET('BPC Data'!$F:$F,0,Summary!N$2),'BPC Data'!$E:$E,Summary!$D532,'BPC Data'!$B:$B,Summary!$C532)</f>
        <v>0</v>
      </c>
      <c r="O532" s="19">
        <f ca="1">SUMIFS(OFFSET('BPC Data'!$F:$F,0,Summary!O$2),'BPC Data'!$E:$E,Summary!$D532,'BPC Data'!$B:$B,Summary!$C532)</f>
        <v>0</v>
      </c>
      <c r="P532" s="183">
        <f ca="1">SUMIFS(OFFSET('BPC Data'!$F:$F,0,Summary!P$2),'BPC Data'!$E:$E,Summary!$D532,'BPC Data'!$B:$B,Summary!$C532)</f>
        <v>0</v>
      </c>
      <c r="Q532" s="19">
        <f ca="1">SUMIFS(OFFSET('BPC Data'!$F:$F,0,Summary!Q$2),'BPC Data'!$E:$E,Summary!$D532,'BPC Data'!$B:$B,Summary!$C532)</f>
        <v>0</v>
      </c>
      <c r="R532" s="183">
        <f ca="1">SUMIFS(OFFSET('BPC Data'!$F:$F,0,Summary!R$2),'BPC Data'!$E:$E,Summary!$D532,'BPC Data'!$B:$B,Summary!$C532)</f>
        <v>0</v>
      </c>
      <c r="S532" s="187">
        <f t="shared" ca="1" si="175"/>
        <v>0</v>
      </c>
      <c r="T532" s="181"/>
    </row>
    <row r="533" spans="1:20" s="17" customFormat="1" outlineLevel="1" x14ac:dyDescent="0.25">
      <c r="A533" s="17">
        <f t="shared" si="178"/>
        <v>48</v>
      </c>
      <c r="B533"/>
      <c r="C533" t="str">
        <f>$F526</f>
        <v>Minerva Park Healthcare and Rehab Center</v>
      </c>
      <c r="D533" s="2" t="str">
        <f t="shared" si="159"/>
        <v>T_MGMT_FEE - Tenant Management Fee - Actual</v>
      </c>
      <c r="E533"/>
      <c r="F533" s="24" t="str">
        <f>_xll.EVDES(D533)</f>
        <v>Tenant Management Fee - Actual</v>
      </c>
      <c r="G533" s="19">
        <f ca="1">SUMIFS(OFFSET('BPC Data'!$F:$F,0,Summary!G$2),'BPC Data'!$E:$E,Summary!$D533,'BPC Data'!$B:$B,Summary!$C533)</f>
        <v>0</v>
      </c>
      <c r="H533" s="183">
        <f ca="1">SUMIFS(OFFSET('BPC Data'!$F:$F,0,Summary!H$2),'BPC Data'!$E:$E,Summary!$D533,'BPC Data'!$B:$B,Summary!$C533)</f>
        <v>0</v>
      </c>
      <c r="I533" s="19">
        <f ca="1">SUMIFS(OFFSET('BPC Data'!$F:$F,0,Summary!I$2),'BPC Data'!$E:$E,Summary!$D533,'BPC Data'!$B:$B,Summary!$C533)</f>
        <v>0</v>
      </c>
      <c r="J533" s="183">
        <f ca="1">SUMIFS(OFFSET('BPC Data'!$F:$F,0,Summary!J$2),'BPC Data'!$E:$E,Summary!$D533,'BPC Data'!$B:$B,Summary!$C533)</f>
        <v>0</v>
      </c>
      <c r="K533" s="19">
        <f ca="1">SUMIFS(OFFSET('BPC Data'!$F:$F,0,Summary!K$2),'BPC Data'!$E:$E,Summary!$D533,'BPC Data'!$B:$B,Summary!$C533)</f>
        <v>0</v>
      </c>
      <c r="L533" s="183">
        <f ca="1">SUMIFS(OFFSET('BPC Data'!$F:$F,0,Summary!L$2),'BPC Data'!$E:$E,Summary!$D533,'BPC Data'!$B:$B,Summary!$C533)</f>
        <v>0</v>
      </c>
      <c r="M533" s="19">
        <f ca="1">SUMIFS(OFFSET('BPC Data'!$F:$F,0,Summary!M$2),'BPC Data'!$E:$E,Summary!$D533,'BPC Data'!$B:$B,Summary!$C533)</f>
        <v>0</v>
      </c>
      <c r="N533" s="183">
        <f ca="1">SUMIFS(OFFSET('BPC Data'!$F:$F,0,Summary!N$2),'BPC Data'!$E:$E,Summary!$D533,'BPC Data'!$B:$B,Summary!$C533)</f>
        <v>0</v>
      </c>
      <c r="O533" s="19">
        <f ca="1">SUMIFS(OFFSET('BPC Data'!$F:$F,0,Summary!O$2),'BPC Data'!$E:$E,Summary!$D533,'BPC Data'!$B:$B,Summary!$C533)</f>
        <v>0</v>
      </c>
      <c r="P533" s="183">
        <f ca="1">SUMIFS(OFFSET('BPC Data'!$F:$F,0,Summary!P$2),'BPC Data'!$E:$E,Summary!$D533,'BPC Data'!$B:$B,Summary!$C533)</f>
        <v>0</v>
      </c>
      <c r="Q533" s="19">
        <f ca="1">SUMIFS(OFFSET('BPC Data'!$F:$F,0,Summary!Q$2),'BPC Data'!$E:$E,Summary!$D533,'BPC Data'!$B:$B,Summary!$C533)</f>
        <v>0</v>
      </c>
      <c r="R533" s="183">
        <f ca="1">SUMIFS(OFFSET('BPC Data'!$F:$F,0,Summary!R$2),'BPC Data'!$E:$E,Summary!$D533,'BPC Data'!$B:$B,Summary!$C533)</f>
        <v>0</v>
      </c>
      <c r="S533" s="187">
        <f t="shared" ca="1" si="175"/>
        <v>0</v>
      </c>
      <c r="T533" s="181"/>
    </row>
    <row r="534" spans="1:20" s="17" customFormat="1" outlineLevel="1" x14ac:dyDescent="0.25">
      <c r="A534" s="17">
        <f t="shared" si="178"/>
        <v>48</v>
      </c>
      <c r="B534"/>
      <c r="C534" t="str">
        <f>$F526</f>
        <v>Minerva Park Healthcare and Rehab Center</v>
      </c>
      <c r="D534" s="1" t="str">
        <f t="shared" ref="D534:D537" si="179">$D523</f>
        <v>T_EBITDAR - EBITDAR</v>
      </c>
      <c r="E534"/>
      <c r="F534" s="24" t="str">
        <f>_xll.EVDES(D534)</f>
        <v>EBITDAR</v>
      </c>
      <c r="G534" s="19">
        <f ca="1">SUMIFS(OFFSET('BPC Data'!$F:$F,0,Summary!G$2),'BPC Data'!$E:$E,Summary!$D534,'BPC Data'!$B:$B,Summary!$C534)</f>
        <v>0</v>
      </c>
      <c r="H534" s="183">
        <f ca="1">SUMIFS(OFFSET('BPC Data'!$F:$F,0,Summary!H$2),'BPC Data'!$E:$E,Summary!$D534,'BPC Data'!$B:$B,Summary!$C534)</f>
        <v>0</v>
      </c>
      <c r="I534" s="19">
        <f ca="1">SUMIFS(OFFSET('BPC Data'!$F:$F,0,Summary!I$2),'BPC Data'!$E:$E,Summary!$D534,'BPC Data'!$B:$B,Summary!$C534)</f>
        <v>0</v>
      </c>
      <c r="J534" s="183">
        <f ca="1">SUMIFS(OFFSET('BPC Data'!$F:$F,0,Summary!J$2),'BPC Data'!$E:$E,Summary!$D534,'BPC Data'!$B:$B,Summary!$C534)</f>
        <v>0</v>
      </c>
      <c r="K534" s="19">
        <f ca="1">SUMIFS(OFFSET('BPC Data'!$F:$F,0,Summary!K$2),'BPC Data'!$E:$E,Summary!$D534,'BPC Data'!$B:$B,Summary!$C534)</f>
        <v>0</v>
      </c>
      <c r="L534" s="183">
        <f ca="1">SUMIFS(OFFSET('BPC Data'!$F:$F,0,Summary!L$2),'BPC Data'!$E:$E,Summary!$D534,'BPC Data'!$B:$B,Summary!$C534)</f>
        <v>0</v>
      </c>
      <c r="M534" s="19">
        <f ca="1">SUMIFS(OFFSET('BPC Data'!$F:$F,0,Summary!M$2),'BPC Data'!$E:$E,Summary!$D534,'BPC Data'!$B:$B,Summary!$C534)</f>
        <v>0</v>
      </c>
      <c r="N534" s="183">
        <f ca="1">SUMIFS(OFFSET('BPC Data'!$F:$F,0,Summary!N$2),'BPC Data'!$E:$E,Summary!$D534,'BPC Data'!$B:$B,Summary!$C534)</f>
        <v>0</v>
      </c>
      <c r="O534" s="19">
        <f ca="1">SUMIFS(OFFSET('BPC Data'!$F:$F,0,Summary!O$2),'BPC Data'!$E:$E,Summary!$D534,'BPC Data'!$B:$B,Summary!$C534)</f>
        <v>0</v>
      </c>
      <c r="P534" s="183">
        <f ca="1">SUMIFS(OFFSET('BPC Data'!$F:$F,0,Summary!P$2),'BPC Data'!$E:$E,Summary!$D534,'BPC Data'!$B:$B,Summary!$C534)</f>
        <v>0</v>
      </c>
      <c r="Q534" s="19">
        <f ca="1">SUMIFS(OFFSET('BPC Data'!$F:$F,0,Summary!Q$2),'BPC Data'!$E:$E,Summary!$D534,'BPC Data'!$B:$B,Summary!$C534)</f>
        <v>0</v>
      </c>
      <c r="R534" s="183">
        <f ca="1">SUMIFS(OFFSET('BPC Data'!$F:$F,0,Summary!R$2),'BPC Data'!$E:$E,Summary!$D534,'BPC Data'!$B:$B,Summary!$C534)</f>
        <v>0</v>
      </c>
      <c r="S534" s="187">
        <f t="shared" ca="1" si="175"/>
        <v>0</v>
      </c>
      <c r="T534" s="181"/>
    </row>
    <row r="535" spans="1:20" s="17" customFormat="1" outlineLevel="1" x14ac:dyDescent="0.25">
      <c r="A535" s="17">
        <f t="shared" si="178"/>
        <v>48</v>
      </c>
      <c r="B535"/>
      <c r="C535" t="str">
        <f>$F526</f>
        <v>Minerva Park Healthcare and Rehab Center</v>
      </c>
      <c r="D535" s="1" t="str">
        <f t="shared" si="179"/>
        <v>T_RENT_EXP - Tenant Rent Expense</v>
      </c>
      <c r="E535"/>
      <c r="F535" s="24" t="str">
        <f>_xll.EVDES(D535)</f>
        <v>Tenant Rent Expense</v>
      </c>
      <c r="G535" s="19">
        <f ca="1">SUMIFS(OFFSET('BPC Data'!$F:$F,0,Summary!G$2),'BPC Data'!$E:$E,Summary!$D535,'BPC Data'!$B:$B,Summary!$C535)</f>
        <v>0</v>
      </c>
      <c r="H535" s="183">
        <f ca="1">SUMIFS(OFFSET('BPC Data'!$F:$F,0,Summary!H$2),'BPC Data'!$E:$E,Summary!$D535,'BPC Data'!$B:$B,Summary!$C535)</f>
        <v>0</v>
      </c>
      <c r="I535" s="19">
        <f ca="1">SUMIFS(OFFSET('BPC Data'!$F:$F,0,Summary!I$2),'BPC Data'!$E:$E,Summary!$D535,'BPC Data'!$B:$B,Summary!$C535)</f>
        <v>0</v>
      </c>
      <c r="J535" s="183">
        <f ca="1">SUMIFS(OFFSET('BPC Data'!$F:$F,0,Summary!J$2),'BPC Data'!$E:$E,Summary!$D535,'BPC Data'!$B:$B,Summary!$C535)</f>
        <v>0</v>
      </c>
      <c r="K535" s="19">
        <f ca="1">SUMIFS(OFFSET('BPC Data'!$F:$F,0,Summary!K$2),'BPC Data'!$E:$E,Summary!$D535,'BPC Data'!$B:$B,Summary!$C535)</f>
        <v>0</v>
      </c>
      <c r="L535" s="183">
        <f ca="1">SUMIFS(OFFSET('BPC Data'!$F:$F,0,Summary!L$2),'BPC Data'!$E:$E,Summary!$D535,'BPC Data'!$B:$B,Summary!$C535)</f>
        <v>0</v>
      </c>
      <c r="M535" s="19">
        <f ca="1">SUMIFS(OFFSET('BPC Data'!$F:$F,0,Summary!M$2),'BPC Data'!$E:$E,Summary!$D535,'BPC Data'!$B:$B,Summary!$C535)</f>
        <v>0</v>
      </c>
      <c r="N535" s="183">
        <f ca="1">SUMIFS(OFFSET('BPC Data'!$F:$F,0,Summary!N$2),'BPC Data'!$E:$E,Summary!$D535,'BPC Data'!$B:$B,Summary!$C535)</f>
        <v>0</v>
      </c>
      <c r="O535" s="19">
        <f ca="1">SUMIFS(OFFSET('BPC Data'!$F:$F,0,Summary!O$2),'BPC Data'!$E:$E,Summary!$D535,'BPC Data'!$B:$B,Summary!$C535)</f>
        <v>0</v>
      </c>
      <c r="P535" s="183">
        <f ca="1">SUMIFS(OFFSET('BPC Data'!$F:$F,0,Summary!P$2),'BPC Data'!$E:$E,Summary!$D535,'BPC Data'!$B:$B,Summary!$C535)</f>
        <v>0</v>
      </c>
      <c r="Q535" s="19">
        <f ca="1">SUMIFS(OFFSET('BPC Data'!$F:$F,0,Summary!Q$2),'BPC Data'!$E:$E,Summary!$D535,'BPC Data'!$B:$B,Summary!$C535)</f>
        <v>0</v>
      </c>
      <c r="R535" s="183">
        <f ca="1">SUMIFS(OFFSET('BPC Data'!$F:$F,0,Summary!R$2),'BPC Data'!$E:$E,Summary!$D535,'BPC Data'!$B:$B,Summary!$C535)</f>
        <v>0</v>
      </c>
      <c r="S535" s="187">
        <f t="shared" ca="1" si="175"/>
        <v>0</v>
      </c>
      <c r="T535" s="181"/>
    </row>
    <row r="536" spans="1:20" s="17" customFormat="1" outlineLevel="1" x14ac:dyDescent="0.25">
      <c r="A536" s="17">
        <f t="shared" si="178"/>
        <v>48</v>
      </c>
      <c r="B536"/>
      <c r="C536"/>
      <c r="D536" s="1" t="str">
        <f t="shared" si="179"/>
        <v>x</v>
      </c>
      <c r="E536"/>
      <c r="F536" s="24" t="s">
        <v>0</v>
      </c>
      <c r="G536" s="12" t="e">
        <f ca="1">G534/G535</f>
        <v>#DIV/0!</v>
      </c>
      <c r="H536" s="184" t="e">
        <f t="shared" ref="H536:I536" ca="1" si="180">H534/H535</f>
        <v>#DIV/0!</v>
      </c>
      <c r="I536" s="12" t="e">
        <f t="shared" ca="1" si="180"/>
        <v>#DIV/0!</v>
      </c>
      <c r="J536" s="184" t="e">
        <f t="shared" ref="J536:R536" ca="1" si="181">J534/J535</f>
        <v>#DIV/0!</v>
      </c>
      <c r="K536" s="12" t="e">
        <f t="shared" ca="1" si="181"/>
        <v>#DIV/0!</v>
      </c>
      <c r="L536" s="184" t="e">
        <f t="shared" ca="1" si="181"/>
        <v>#DIV/0!</v>
      </c>
      <c r="M536" s="12" t="e">
        <f t="shared" ca="1" si="181"/>
        <v>#DIV/0!</v>
      </c>
      <c r="N536" s="184" t="e">
        <f t="shared" ca="1" si="181"/>
        <v>#DIV/0!</v>
      </c>
      <c r="O536" s="12" t="e">
        <f t="shared" ca="1" si="181"/>
        <v>#DIV/0!</v>
      </c>
      <c r="P536" s="184" t="e">
        <f t="shared" ca="1" si="181"/>
        <v>#DIV/0!</v>
      </c>
      <c r="Q536" s="12" t="e">
        <f t="shared" ca="1" si="181"/>
        <v>#DIV/0!</v>
      </c>
      <c r="R536" s="184" t="e">
        <f t="shared" ca="1" si="181"/>
        <v>#DIV/0!</v>
      </c>
      <c r="S536" s="187" t="e">
        <f t="shared" ca="1" si="175"/>
        <v>#DIV/0!</v>
      </c>
      <c r="T536" s="181"/>
    </row>
    <row r="537" spans="1:20" s="17" customFormat="1" outlineLevel="1" x14ac:dyDescent="0.25">
      <c r="A537" s="17">
        <f>IF(AND(D537&lt;&gt;"",C537=""),A536+1,A536)</f>
        <v>49</v>
      </c>
      <c r="B537" s="5"/>
      <c r="C537" s="5"/>
      <c r="D537" s="5" t="str">
        <f t="shared" si="179"/>
        <v>x</v>
      </c>
      <c r="E537" s="5"/>
      <c r="F537" s="23" t="e">
        <f>INDEX(PropertyList!$D:$D,MATCH(Summary!$A537,PropertyList!$C:$C,0))</f>
        <v>#N/A</v>
      </c>
      <c r="G537" s="11"/>
      <c r="H537" s="182"/>
      <c r="I537" s="11"/>
      <c r="J537" s="182"/>
      <c r="K537" s="11"/>
      <c r="L537" s="182"/>
      <c r="M537" s="11"/>
      <c r="N537" s="182"/>
      <c r="O537" s="11"/>
      <c r="P537" s="182"/>
      <c r="Q537" s="11"/>
      <c r="R537" s="182"/>
      <c r="S537" s="187">
        <f t="shared" si="175"/>
        <v>0</v>
      </c>
      <c r="T537" s="181"/>
    </row>
    <row r="538" spans="1:20" s="17" customFormat="1" outlineLevel="1" x14ac:dyDescent="0.25">
      <c r="A538" s="17">
        <f>IF(AND(F538&lt;&gt;"",D538=""),A537+1,A537)</f>
        <v>49</v>
      </c>
      <c r="C538" t="e">
        <f>$F537</f>
        <v>#N/A</v>
      </c>
      <c r="D538" s="3" t="str">
        <f>$D527</f>
        <v>PAY_PAT_DAYS - Total Payor Patient Days</v>
      </c>
      <c r="F538" s="24" t="str">
        <f>_xll.EVDES(D538)</f>
        <v>Total Payor Patient Days</v>
      </c>
      <c r="G538" s="19">
        <f ca="1">SUMIFS(OFFSET('BPC Data'!$F:$F,0,Summary!G$2),'BPC Data'!$E:$E,Summary!$D538,'BPC Data'!$B:$B,Summary!$C538)</f>
        <v>0</v>
      </c>
      <c r="H538" s="183">
        <f ca="1">SUMIFS(OFFSET('BPC Data'!$F:$F,0,Summary!H$2),'BPC Data'!$E:$E,Summary!$D538,'BPC Data'!$B:$B,Summary!$C538)</f>
        <v>0</v>
      </c>
      <c r="I538" s="19">
        <f ca="1">SUMIFS(OFFSET('BPC Data'!$F:$F,0,Summary!I$2),'BPC Data'!$E:$E,Summary!$D538,'BPC Data'!$B:$B,Summary!$C538)</f>
        <v>0</v>
      </c>
      <c r="J538" s="183">
        <f ca="1">SUMIFS(OFFSET('BPC Data'!$F:$F,0,Summary!J$2),'BPC Data'!$E:$E,Summary!$D538,'BPC Data'!$B:$B,Summary!$C538)</f>
        <v>0</v>
      </c>
      <c r="K538" s="19">
        <f ca="1">SUMIFS(OFFSET('BPC Data'!$F:$F,0,Summary!K$2),'BPC Data'!$E:$E,Summary!$D538,'BPC Data'!$B:$B,Summary!$C538)</f>
        <v>0</v>
      </c>
      <c r="L538" s="183">
        <f ca="1">SUMIFS(OFFSET('BPC Data'!$F:$F,0,Summary!L$2),'BPC Data'!$E:$E,Summary!$D538,'BPC Data'!$B:$B,Summary!$C538)</f>
        <v>0</v>
      </c>
      <c r="M538" s="19">
        <f ca="1">SUMIFS(OFFSET('BPC Data'!$F:$F,0,Summary!M$2),'BPC Data'!$E:$E,Summary!$D538,'BPC Data'!$B:$B,Summary!$C538)</f>
        <v>0</v>
      </c>
      <c r="N538" s="183">
        <f ca="1">SUMIFS(OFFSET('BPC Data'!$F:$F,0,Summary!N$2),'BPC Data'!$E:$E,Summary!$D538,'BPC Data'!$B:$B,Summary!$C538)</f>
        <v>0</v>
      </c>
      <c r="O538" s="19">
        <f ca="1">SUMIFS(OFFSET('BPC Data'!$F:$F,0,Summary!O$2),'BPC Data'!$E:$E,Summary!$D538,'BPC Data'!$B:$B,Summary!$C538)</f>
        <v>0</v>
      </c>
      <c r="P538" s="183">
        <f ca="1">SUMIFS(OFFSET('BPC Data'!$F:$F,0,Summary!P$2),'BPC Data'!$E:$E,Summary!$D538,'BPC Data'!$B:$B,Summary!$C538)</f>
        <v>0</v>
      </c>
      <c r="Q538" s="19">
        <f ca="1">SUMIFS(OFFSET('BPC Data'!$F:$F,0,Summary!Q$2),'BPC Data'!$E:$E,Summary!$D538,'BPC Data'!$B:$B,Summary!$C538)</f>
        <v>0</v>
      </c>
      <c r="R538" s="183">
        <f ca="1">SUMIFS(OFFSET('BPC Data'!$F:$F,0,Summary!R$2),'BPC Data'!$E:$E,Summary!$D538,'BPC Data'!$B:$B,Summary!$C538)</f>
        <v>0</v>
      </c>
      <c r="S538" s="187">
        <f t="shared" ca="1" si="175"/>
        <v>0</v>
      </c>
      <c r="T538" s="181"/>
    </row>
    <row r="539" spans="1:20" s="17" customFormat="1" outlineLevel="1" x14ac:dyDescent="0.25">
      <c r="A539" s="17">
        <f t="shared" ref="A539:A547" si="182">IF(AND(F539&lt;&gt;"",D539=""),A538+1,A538)</f>
        <v>49</v>
      </c>
      <c r="C539" t="e">
        <f>$F537</f>
        <v>#N/A</v>
      </c>
      <c r="D539" s="3" t="str">
        <f t="shared" ref="D539:D547" si="183">$D528</f>
        <v>A_BEDS_TOTAL - Total Available Beds</v>
      </c>
      <c r="F539" s="24" t="str">
        <f>_xll.EVDES(D539)</f>
        <v>Total Available Beds</v>
      </c>
      <c r="G539" s="19">
        <f ca="1">SUMIFS(OFFSET('BPC Data'!$F:$F,0,Summary!G$2),'BPC Data'!$E:$E,Summary!$D539,'BPC Data'!$B:$B,Summary!$C539)</f>
        <v>0</v>
      </c>
      <c r="H539" s="183">
        <f ca="1">SUMIFS(OFFSET('BPC Data'!$F:$F,0,Summary!H$2),'BPC Data'!$E:$E,Summary!$D539,'BPC Data'!$B:$B,Summary!$C539)</f>
        <v>0</v>
      </c>
      <c r="I539" s="19">
        <f ca="1">SUMIFS(OFFSET('BPC Data'!$F:$F,0,Summary!I$2),'BPC Data'!$E:$E,Summary!$D539,'BPC Data'!$B:$B,Summary!$C539)</f>
        <v>0</v>
      </c>
      <c r="J539" s="183">
        <f ca="1">SUMIFS(OFFSET('BPC Data'!$F:$F,0,Summary!J$2),'BPC Data'!$E:$E,Summary!$D539,'BPC Data'!$B:$B,Summary!$C539)</f>
        <v>0</v>
      </c>
      <c r="K539" s="19">
        <f ca="1">SUMIFS(OFFSET('BPC Data'!$F:$F,0,Summary!K$2),'BPC Data'!$E:$E,Summary!$D539,'BPC Data'!$B:$B,Summary!$C539)</f>
        <v>0</v>
      </c>
      <c r="L539" s="183">
        <f ca="1">SUMIFS(OFFSET('BPC Data'!$F:$F,0,Summary!L$2),'BPC Data'!$E:$E,Summary!$D539,'BPC Data'!$B:$B,Summary!$C539)</f>
        <v>0</v>
      </c>
      <c r="M539" s="19">
        <f ca="1">SUMIFS(OFFSET('BPC Data'!$F:$F,0,Summary!M$2),'BPC Data'!$E:$E,Summary!$D539,'BPC Data'!$B:$B,Summary!$C539)</f>
        <v>0</v>
      </c>
      <c r="N539" s="183">
        <f ca="1">SUMIFS(OFFSET('BPC Data'!$F:$F,0,Summary!N$2),'BPC Data'!$E:$E,Summary!$D539,'BPC Data'!$B:$B,Summary!$C539)</f>
        <v>0</v>
      </c>
      <c r="O539" s="19">
        <f ca="1">SUMIFS(OFFSET('BPC Data'!$F:$F,0,Summary!O$2),'BPC Data'!$E:$E,Summary!$D539,'BPC Data'!$B:$B,Summary!$C539)</f>
        <v>0</v>
      </c>
      <c r="P539" s="183">
        <f ca="1">SUMIFS(OFFSET('BPC Data'!$F:$F,0,Summary!P$2),'BPC Data'!$E:$E,Summary!$D539,'BPC Data'!$B:$B,Summary!$C539)</f>
        <v>0</v>
      </c>
      <c r="Q539" s="19">
        <f ca="1">SUMIFS(OFFSET('BPC Data'!$F:$F,0,Summary!Q$2),'BPC Data'!$E:$E,Summary!$D539,'BPC Data'!$B:$B,Summary!$C539)</f>
        <v>0</v>
      </c>
      <c r="R539" s="183">
        <f ca="1">SUMIFS(OFFSET('BPC Data'!$F:$F,0,Summary!R$2),'BPC Data'!$E:$E,Summary!$D539,'BPC Data'!$B:$B,Summary!$C539)</f>
        <v>0</v>
      </c>
      <c r="S539" s="187">
        <f ca="1">R539</f>
        <v>0</v>
      </c>
      <c r="T539" s="181"/>
    </row>
    <row r="540" spans="1:20" s="17" customFormat="1" outlineLevel="1" x14ac:dyDescent="0.25">
      <c r="A540" s="17">
        <f t="shared" si="182"/>
        <v>49</v>
      </c>
      <c r="B540"/>
      <c r="C540" t="e">
        <f>$F537</f>
        <v>#N/A</v>
      </c>
      <c r="D540" s="3" t="str">
        <f t="shared" si="183"/>
        <v>T_REVENUES - Total Tenant Revenues</v>
      </c>
      <c r="E540"/>
      <c r="F540" s="24" t="str">
        <f>_xll.EVDES(D540)</f>
        <v>Total Tenant Revenues</v>
      </c>
      <c r="G540" s="19">
        <f ca="1">SUMIFS(OFFSET('BPC Data'!$F:$F,0,Summary!G$2),'BPC Data'!$E:$E,Summary!$D540,'BPC Data'!$B:$B,Summary!$C540)</f>
        <v>0</v>
      </c>
      <c r="H540" s="183">
        <f ca="1">SUMIFS(OFFSET('BPC Data'!$F:$F,0,Summary!H$2),'BPC Data'!$E:$E,Summary!$D540,'BPC Data'!$B:$B,Summary!$C540)</f>
        <v>0</v>
      </c>
      <c r="I540" s="19">
        <f ca="1">SUMIFS(OFFSET('BPC Data'!$F:$F,0,Summary!I$2),'BPC Data'!$E:$E,Summary!$D540,'BPC Data'!$B:$B,Summary!$C540)</f>
        <v>0</v>
      </c>
      <c r="J540" s="183">
        <f ca="1">SUMIFS(OFFSET('BPC Data'!$F:$F,0,Summary!J$2),'BPC Data'!$E:$E,Summary!$D540,'BPC Data'!$B:$B,Summary!$C540)</f>
        <v>0</v>
      </c>
      <c r="K540" s="19">
        <f ca="1">SUMIFS(OFFSET('BPC Data'!$F:$F,0,Summary!K$2),'BPC Data'!$E:$E,Summary!$D540,'BPC Data'!$B:$B,Summary!$C540)</f>
        <v>0</v>
      </c>
      <c r="L540" s="183">
        <f ca="1">SUMIFS(OFFSET('BPC Data'!$F:$F,0,Summary!L$2),'BPC Data'!$E:$E,Summary!$D540,'BPC Data'!$B:$B,Summary!$C540)</f>
        <v>0</v>
      </c>
      <c r="M540" s="19">
        <f ca="1">SUMIFS(OFFSET('BPC Data'!$F:$F,0,Summary!M$2),'BPC Data'!$E:$E,Summary!$D540,'BPC Data'!$B:$B,Summary!$C540)</f>
        <v>0</v>
      </c>
      <c r="N540" s="183">
        <f ca="1">SUMIFS(OFFSET('BPC Data'!$F:$F,0,Summary!N$2),'BPC Data'!$E:$E,Summary!$D540,'BPC Data'!$B:$B,Summary!$C540)</f>
        <v>0</v>
      </c>
      <c r="O540" s="19">
        <f ca="1">SUMIFS(OFFSET('BPC Data'!$F:$F,0,Summary!O$2),'BPC Data'!$E:$E,Summary!$D540,'BPC Data'!$B:$B,Summary!$C540)</f>
        <v>0</v>
      </c>
      <c r="P540" s="183">
        <f ca="1">SUMIFS(OFFSET('BPC Data'!$F:$F,0,Summary!P$2),'BPC Data'!$E:$E,Summary!$D540,'BPC Data'!$B:$B,Summary!$C540)</f>
        <v>0</v>
      </c>
      <c r="Q540" s="19">
        <f ca="1">SUMIFS(OFFSET('BPC Data'!$F:$F,0,Summary!Q$2),'BPC Data'!$E:$E,Summary!$D540,'BPC Data'!$B:$B,Summary!$C540)</f>
        <v>0</v>
      </c>
      <c r="R540" s="183">
        <f ca="1">SUMIFS(OFFSET('BPC Data'!$F:$F,0,Summary!R$2),'BPC Data'!$E:$E,Summary!$D540,'BPC Data'!$B:$B,Summary!$C540)</f>
        <v>0</v>
      </c>
      <c r="S540" s="187">
        <f t="shared" ca="1" si="175"/>
        <v>0</v>
      </c>
      <c r="T540" s="181"/>
    </row>
    <row r="541" spans="1:20" s="17" customFormat="1" outlineLevel="1" x14ac:dyDescent="0.25">
      <c r="A541" s="17">
        <f t="shared" si="182"/>
        <v>49</v>
      </c>
      <c r="B541"/>
      <c r="C541" t="e">
        <f>$F537</f>
        <v>#N/A</v>
      </c>
      <c r="D541" s="3" t="str">
        <f t="shared" si="183"/>
        <v>T_OPEX - Tenant Operating Expenses</v>
      </c>
      <c r="E541"/>
      <c r="F541" s="24" t="str">
        <f>_xll.EVDES(D541)</f>
        <v>Tenant Operating Expenses</v>
      </c>
      <c r="G541" s="19">
        <f ca="1">SUMIFS(OFFSET('BPC Data'!$F:$F,0,Summary!G$2),'BPC Data'!$E:$E,Summary!$D541,'BPC Data'!$B:$B,Summary!$C541)</f>
        <v>0</v>
      </c>
      <c r="H541" s="183">
        <f ca="1">SUMIFS(OFFSET('BPC Data'!$F:$F,0,Summary!H$2),'BPC Data'!$E:$E,Summary!$D541,'BPC Data'!$B:$B,Summary!$C541)</f>
        <v>0</v>
      </c>
      <c r="I541" s="19">
        <f ca="1">SUMIFS(OFFSET('BPC Data'!$F:$F,0,Summary!I$2),'BPC Data'!$E:$E,Summary!$D541,'BPC Data'!$B:$B,Summary!$C541)</f>
        <v>0</v>
      </c>
      <c r="J541" s="183">
        <f ca="1">SUMIFS(OFFSET('BPC Data'!$F:$F,0,Summary!J$2),'BPC Data'!$E:$E,Summary!$D541,'BPC Data'!$B:$B,Summary!$C541)</f>
        <v>0</v>
      </c>
      <c r="K541" s="19">
        <f ca="1">SUMIFS(OFFSET('BPC Data'!$F:$F,0,Summary!K$2),'BPC Data'!$E:$E,Summary!$D541,'BPC Data'!$B:$B,Summary!$C541)</f>
        <v>0</v>
      </c>
      <c r="L541" s="183">
        <f ca="1">SUMIFS(OFFSET('BPC Data'!$F:$F,0,Summary!L$2),'BPC Data'!$E:$E,Summary!$D541,'BPC Data'!$B:$B,Summary!$C541)</f>
        <v>0</v>
      </c>
      <c r="M541" s="19">
        <f ca="1">SUMIFS(OFFSET('BPC Data'!$F:$F,0,Summary!M$2),'BPC Data'!$E:$E,Summary!$D541,'BPC Data'!$B:$B,Summary!$C541)</f>
        <v>0</v>
      </c>
      <c r="N541" s="183">
        <f ca="1">SUMIFS(OFFSET('BPC Data'!$F:$F,0,Summary!N$2),'BPC Data'!$E:$E,Summary!$D541,'BPC Data'!$B:$B,Summary!$C541)</f>
        <v>0</v>
      </c>
      <c r="O541" s="19">
        <f ca="1">SUMIFS(OFFSET('BPC Data'!$F:$F,0,Summary!O$2),'BPC Data'!$E:$E,Summary!$D541,'BPC Data'!$B:$B,Summary!$C541)</f>
        <v>0</v>
      </c>
      <c r="P541" s="183">
        <f ca="1">SUMIFS(OFFSET('BPC Data'!$F:$F,0,Summary!P$2),'BPC Data'!$E:$E,Summary!$D541,'BPC Data'!$B:$B,Summary!$C541)</f>
        <v>0</v>
      </c>
      <c r="Q541" s="19">
        <f ca="1">SUMIFS(OFFSET('BPC Data'!$F:$F,0,Summary!Q$2),'BPC Data'!$E:$E,Summary!$D541,'BPC Data'!$B:$B,Summary!$C541)</f>
        <v>0</v>
      </c>
      <c r="R541" s="183">
        <f ca="1">SUMIFS(OFFSET('BPC Data'!$F:$F,0,Summary!R$2),'BPC Data'!$E:$E,Summary!$D541,'BPC Data'!$B:$B,Summary!$C541)</f>
        <v>0</v>
      </c>
      <c r="S541" s="187">
        <f t="shared" ca="1" si="175"/>
        <v>0</v>
      </c>
      <c r="T541" s="181"/>
    </row>
    <row r="542" spans="1:20" s="17" customFormat="1" outlineLevel="1" x14ac:dyDescent="0.25">
      <c r="A542" s="17">
        <f t="shared" si="182"/>
        <v>49</v>
      </c>
      <c r="B542"/>
      <c r="C542" t="e">
        <f>$F537</f>
        <v>#N/A</v>
      </c>
      <c r="D542" s="3" t="str">
        <f t="shared" si="183"/>
        <v>T_BAD_DEBT - Tenant Bad Debt Expense</v>
      </c>
      <c r="E542"/>
      <c r="F542" s="24" t="str">
        <f>_xll.EVDES(D542)</f>
        <v>Tenant Bad Debt Expense</v>
      </c>
      <c r="G542" s="19">
        <f ca="1">SUMIFS(OFFSET('BPC Data'!$F:$F,0,Summary!G$2),'BPC Data'!$E:$E,Summary!$D542,'BPC Data'!$B:$B,Summary!$C542)</f>
        <v>0</v>
      </c>
      <c r="H542" s="183">
        <f ca="1">SUMIFS(OFFSET('BPC Data'!$F:$F,0,Summary!H$2),'BPC Data'!$E:$E,Summary!$D542,'BPC Data'!$B:$B,Summary!$C542)</f>
        <v>0</v>
      </c>
      <c r="I542" s="19">
        <f ca="1">SUMIFS(OFFSET('BPC Data'!$F:$F,0,Summary!I$2),'BPC Data'!$E:$E,Summary!$D542,'BPC Data'!$B:$B,Summary!$C542)</f>
        <v>0</v>
      </c>
      <c r="J542" s="183">
        <f ca="1">SUMIFS(OFFSET('BPC Data'!$F:$F,0,Summary!J$2),'BPC Data'!$E:$E,Summary!$D542,'BPC Data'!$B:$B,Summary!$C542)</f>
        <v>0</v>
      </c>
      <c r="K542" s="19">
        <f ca="1">SUMIFS(OFFSET('BPC Data'!$F:$F,0,Summary!K$2),'BPC Data'!$E:$E,Summary!$D542,'BPC Data'!$B:$B,Summary!$C542)</f>
        <v>0</v>
      </c>
      <c r="L542" s="183">
        <f ca="1">SUMIFS(OFFSET('BPC Data'!$F:$F,0,Summary!L$2),'BPC Data'!$E:$E,Summary!$D542,'BPC Data'!$B:$B,Summary!$C542)</f>
        <v>0</v>
      </c>
      <c r="M542" s="19">
        <f ca="1">SUMIFS(OFFSET('BPC Data'!$F:$F,0,Summary!M$2),'BPC Data'!$E:$E,Summary!$D542,'BPC Data'!$B:$B,Summary!$C542)</f>
        <v>0</v>
      </c>
      <c r="N542" s="183">
        <f ca="1">SUMIFS(OFFSET('BPC Data'!$F:$F,0,Summary!N$2),'BPC Data'!$E:$E,Summary!$D542,'BPC Data'!$B:$B,Summary!$C542)</f>
        <v>0</v>
      </c>
      <c r="O542" s="19">
        <f ca="1">SUMIFS(OFFSET('BPC Data'!$F:$F,0,Summary!O$2),'BPC Data'!$E:$E,Summary!$D542,'BPC Data'!$B:$B,Summary!$C542)</f>
        <v>0</v>
      </c>
      <c r="P542" s="183">
        <f ca="1">SUMIFS(OFFSET('BPC Data'!$F:$F,0,Summary!P$2),'BPC Data'!$E:$E,Summary!$D542,'BPC Data'!$B:$B,Summary!$C542)</f>
        <v>0</v>
      </c>
      <c r="Q542" s="19">
        <f ca="1">SUMIFS(OFFSET('BPC Data'!$F:$F,0,Summary!Q$2),'BPC Data'!$E:$E,Summary!$D542,'BPC Data'!$B:$B,Summary!$C542)</f>
        <v>0</v>
      </c>
      <c r="R542" s="183">
        <f ca="1">SUMIFS(OFFSET('BPC Data'!$F:$F,0,Summary!R$2),'BPC Data'!$E:$E,Summary!$D542,'BPC Data'!$B:$B,Summary!$C542)</f>
        <v>0</v>
      </c>
      <c r="S542" s="187">
        <f t="shared" ca="1" si="175"/>
        <v>0</v>
      </c>
      <c r="T542" s="181"/>
    </row>
    <row r="543" spans="1:20" s="17" customFormat="1" outlineLevel="1" x14ac:dyDescent="0.25">
      <c r="A543" s="17">
        <f t="shared" si="182"/>
        <v>49</v>
      </c>
      <c r="B543"/>
      <c r="C543" t="e">
        <f>$F537</f>
        <v>#N/A</v>
      </c>
      <c r="D543" s="2" t="str">
        <f t="shared" si="183"/>
        <v>T_EBITDARM - EBITDARM</v>
      </c>
      <c r="E543"/>
      <c r="F543" s="24" t="str">
        <f>_xll.EVDES(D543)</f>
        <v>EBITDARM</v>
      </c>
      <c r="G543" s="19">
        <f ca="1">SUMIFS(OFFSET('BPC Data'!$F:$F,0,Summary!G$2),'BPC Data'!$E:$E,Summary!$D543,'BPC Data'!$B:$B,Summary!$C543)</f>
        <v>0</v>
      </c>
      <c r="H543" s="183">
        <f ca="1">SUMIFS(OFFSET('BPC Data'!$F:$F,0,Summary!H$2),'BPC Data'!$E:$E,Summary!$D543,'BPC Data'!$B:$B,Summary!$C543)</f>
        <v>0</v>
      </c>
      <c r="I543" s="19">
        <f ca="1">SUMIFS(OFFSET('BPC Data'!$F:$F,0,Summary!I$2),'BPC Data'!$E:$E,Summary!$D543,'BPC Data'!$B:$B,Summary!$C543)</f>
        <v>0</v>
      </c>
      <c r="J543" s="183">
        <f ca="1">SUMIFS(OFFSET('BPC Data'!$F:$F,0,Summary!J$2),'BPC Data'!$E:$E,Summary!$D543,'BPC Data'!$B:$B,Summary!$C543)</f>
        <v>0</v>
      </c>
      <c r="K543" s="19">
        <f ca="1">SUMIFS(OFFSET('BPC Data'!$F:$F,0,Summary!K$2),'BPC Data'!$E:$E,Summary!$D543,'BPC Data'!$B:$B,Summary!$C543)</f>
        <v>0</v>
      </c>
      <c r="L543" s="183">
        <f ca="1">SUMIFS(OFFSET('BPC Data'!$F:$F,0,Summary!L$2),'BPC Data'!$E:$E,Summary!$D543,'BPC Data'!$B:$B,Summary!$C543)</f>
        <v>0</v>
      </c>
      <c r="M543" s="19">
        <f ca="1">SUMIFS(OFFSET('BPC Data'!$F:$F,0,Summary!M$2),'BPC Data'!$E:$E,Summary!$D543,'BPC Data'!$B:$B,Summary!$C543)</f>
        <v>0</v>
      </c>
      <c r="N543" s="183">
        <f ca="1">SUMIFS(OFFSET('BPC Data'!$F:$F,0,Summary!N$2),'BPC Data'!$E:$E,Summary!$D543,'BPC Data'!$B:$B,Summary!$C543)</f>
        <v>0</v>
      </c>
      <c r="O543" s="19">
        <f ca="1">SUMIFS(OFFSET('BPC Data'!$F:$F,0,Summary!O$2),'BPC Data'!$E:$E,Summary!$D543,'BPC Data'!$B:$B,Summary!$C543)</f>
        <v>0</v>
      </c>
      <c r="P543" s="183">
        <f ca="1">SUMIFS(OFFSET('BPC Data'!$F:$F,0,Summary!P$2),'BPC Data'!$E:$E,Summary!$D543,'BPC Data'!$B:$B,Summary!$C543)</f>
        <v>0</v>
      </c>
      <c r="Q543" s="19">
        <f ca="1">SUMIFS(OFFSET('BPC Data'!$F:$F,0,Summary!Q$2),'BPC Data'!$E:$E,Summary!$D543,'BPC Data'!$B:$B,Summary!$C543)</f>
        <v>0</v>
      </c>
      <c r="R543" s="183">
        <f ca="1">SUMIFS(OFFSET('BPC Data'!$F:$F,0,Summary!R$2),'BPC Data'!$E:$E,Summary!$D543,'BPC Data'!$B:$B,Summary!$C543)</f>
        <v>0</v>
      </c>
      <c r="S543" s="187">
        <f t="shared" ca="1" si="175"/>
        <v>0</v>
      </c>
      <c r="T543" s="181"/>
    </row>
    <row r="544" spans="1:20" s="17" customFormat="1" outlineLevel="1" x14ac:dyDescent="0.25">
      <c r="A544" s="17">
        <f t="shared" si="182"/>
        <v>49</v>
      </c>
      <c r="B544"/>
      <c r="C544" t="e">
        <f>$F537</f>
        <v>#N/A</v>
      </c>
      <c r="D544" s="2" t="str">
        <f t="shared" si="183"/>
        <v>T_MGMT_FEE - Tenant Management Fee - Actual</v>
      </c>
      <c r="E544"/>
      <c r="F544" s="24" t="str">
        <f>_xll.EVDES(D544)</f>
        <v>Tenant Management Fee - Actual</v>
      </c>
      <c r="G544" s="19">
        <f ca="1">SUMIFS(OFFSET('BPC Data'!$F:$F,0,Summary!G$2),'BPC Data'!$E:$E,Summary!$D544,'BPC Data'!$B:$B,Summary!$C544)</f>
        <v>0</v>
      </c>
      <c r="H544" s="183">
        <f ca="1">SUMIFS(OFFSET('BPC Data'!$F:$F,0,Summary!H$2),'BPC Data'!$E:$E,Summary!$D544,'BPC Data'!$B:$B,Summary!$C544)</f>
        <v>0</v>
      </c>
      <c r="I544" s="19">
        <f ca="1">SUMIFS(OFFSET('BPC Data'!$F:$F,0,Summary!I$2),'BPC Data'!$E:$E,Summary!$D544,'BPC Data'!$B:$B,Summary!$C544)</f>
        <v>0</v>
      </c>
      <c r="J544" s="183">
        <f ca="1">SUMIFS(OFFSET('BPC Data'!$F:$F,0,Summary!J$2),'BPC Data'!$E:$E,Summary!$D544,'BPC Data'!$B:$B,Summary!$C544)</f>
        <v>0</v>
      </c>
      <c r="K544" s="19">
        <f ca="1">SUMIFS(OFFSET('BPC Data'!$F:$F,0,Summary!K$2),'BPC Data'!$E:$E,Summary!$D544,'BPC Data'!$B:$B,Summary!$C544)</f>
        <v>0</v>
      </c>
      <c r="L544" s="183">
        <f ca="1">SUMIFS(OFFSET('BPC Data'!$F:$F,0,Summary!L$2),'BPC Data'!$E:$E,Summary!$D544,'BPC Data'!$B:$B,Summary!$C544)</f>
        <v>0</v>
      </c>
      <c r="M544" s="19">
        <f ca="1">SUMIFS(OFFSET('BPC Data'!$F:$F,0,Summary!M$2),'BPC Data'!$E:$E,Summary!$D544,'BPC Data'!$B:$B,Summary!$C544)</f>
        <v>0</v>
      </c>
      <c r="N544" s="183">
        <f ca="1">SUMIFS(OFFSET('BPC Data'!$F:$F,0,Summary!N$2),'BPC Data'!$E:$E,Summary!$D544,'BPC Data'!$B:$B,Summary!$C544)</f>
        <v>0</v>
      </c>
      <c r="O544" s="19">
        <f ca="1">SUMIFS(OFFSET('BPC Data'!$F:$F,0,Summary!O$2),'BPC Data'!$E:$E,Summary!$D544,'BPC Data'!$B:$B,Summary!$C544)</f>
        <v>0</v>
      </c>
      <c r="P544" s="183">
        <f ca="1">SUMIFS(OFFSET('BPC Data'!$F:$F,0,Summary!P$2),'BPC Data'!$E:$E,Summary!$D544,'BPC Data'!$B:$B,Summary!$C544)</f>
        <v>0</v>
      </c>
      <c r="Q544" s="19">
        <f ca="1">SUMIFS(OFFSET('BPC Data'!$F:$F,0,Summary!Q$2),'BPC Data'!$E:$E,Summary!$D544,'BPC Data'!$B:$B,Summary!$C544)</f>
        <v>0</v>
      </c>
      <c r="R544" s="183">
        <f ca="1">SUMIFS(OFFSET('BPC Data'!$F:$F,0,Summary!R$2),'BPC Data'!$E:$E,Summary!$D544,'BPC Data'!$B:$B,Summary!$C544)</f>
        <v>0</v>
      </c>
      <c r="S544" s="187">
        <f t="shared" ca="1" si="175"/>
        <v>0</v>
      </c>
      <c r="T544" s="181"/>
    </row>
    <row r="545" spans="1:29" s="17" customFormat="1" outlineLevel="1" x14ac:dyDescent="0.25">
      <c r="A545" s="17">
        <f t="shared" si="182"/>
        <v>49</v>
      </c>
      <c r="B545"/>
      <c r="C545" t="e">
        <f>$F537</f>
        <v>#N/A</v>
      </c>
      <c r="D545" s="1" t="str">
        <f t="shared" si="183"/>
        <v>T_EBITDAR - EBITDAR</v>
      </c>
      <c r="E545"/>
      <c r="F545" s="24" t="str">
        <f>_xll.EVDES(D545)</f>
        <v>EBITDAR</v>
      </c>
      <c r="G545" s="19">
        <f ca="1">SUMIFS(OFFSET('BPC Data'!$F:$F,0,Summary!G$2),'BPC Data'!$E:$E,Summary!$D545,'BPC Data'!$B:$B,Summary!$C545)</f>
        <v>0</v>
      </c>
      <c r="H545" s="183">
        <f ca="1">SUMIFS(OFFSET('BPC Data'!$F:$F,0,Summary!H$2),'BPC Data'!$E:$E,Summary!$D545,'BPC Data'!$B:$B,Summary!$C545)</f>
        <v>0</v>
      </c>
      <c r="I545" s="19">
        <f ca="1">SUMIFS(OFFSET('BPC Data'!$F:$F,0,Summary!I$2),'BPC Data'!$E:$E,Summary!$D545,'BPC Data'!$B:$B,Summary!$C545)</f>
        <v>0</v>
      </c>
      <c r="J545" s="183">
        <f ca="1">SUMIFS(OFFSET('BPC Data'!$F:$F,0,Summary!J$2),'BPC Data'!$E:$E,Summary!$D545,'BPC Data'!$B:$B,Summary!$C545)</f>
        <v>0</v>
      </c>
      <c r="K545" s="19">
        <f ca="1">SUMIFS(OFFSET('BPC Data'!$F:$F,0,Summary!K$2),'BPC Data'!$E:$E,Summary!$D545,'BPC Data'!$B:$B,Summary!$C545)</f>
        <v>0</v>
      </c>
      <c r="L545" s="183">
        <f ca="1">SUMIFS(OFFSET('BPC Data'!$F:$F,0,Summary!L$2),'BPC Data'!$E:$E,Summary!$D545,'BPC Data'!$B:$B,Summary!$C545)</f>
        <v>0</v>
      </c>
      <c r="M545" s="19">
        <f ca="1">SUMIFS(OFFSET('BPC Data'!$F:$F,0,Summary!M$2),'BPC Data'!$E:$E,Summary!$D545,'BPC Data'!$B:$B,Summary!$C545)</f>
        <v>0</v>
      </c>
      <c r="N545" s="183">
        <f ca="1">SUMIFS(OFFSET('BPC Data'!$F:$F,0,Summary!N$2),'BPC Data'!$E:$E,Summary!$D545,'BPC Data'!$B:$B,Summary!$C545)</f>
        <v>0</v>
      </c>
      <c r="O545" s="19">
        <f ca="1">SUMIFS(OFFSET('BPC Data'!$F:$F,0,Summary!O$2),'BPC Data'!$E:$E,Summary!$D545,'BPC Data'!$B:$B,Summary!$C545)</f>
        <v>0</v>
      </c>
      <c r="P545" s="183">
        <f ca="1">SUMIFS(OFFSET('BPC Data'!$F:$F,0,Summary!P$2),'BPC Data'!$E:$E,Summary!$D545,'BPC Data'!$B:$B,Summary!$C545)</f>
        <v>0</v>
      </c>
      <c r="Q545" s="19">
        <f ca="1">SUMIFS(OFFSET('BPC Data'!$F:$F,0,Summary!Q$2),'BPC Data'!$E:$E,Summary!$D545,'BPC Data'!$B:$B,Summary!$C545)</f>
        <v>0</v>
      </c>
      <c r="R545" s="183">
        <f ca="1">SUMIFS(OFFSET('BPC Data'!$F:$F,0,Summary!R$2),'BPC Data'!$E:$E,Summary!$D545,'BPC Data'!$B:$B,Summary!$C545)</f>
        <v>0</v>
      </c>
      <c r="S545" s="187">
        <f t="shared" ca="1" si="175"/>
        <v>0</v>
      </c>
      <c r="T545" s="181"/>
    </row>
    <row r="546" spans="1:29" s="17" customFormat="1" outlineLevel="1" x14ac:dyDescent="0.25">
      <c r="A546" s="17">
        <f t="shared" si="182"/>
        <v>49</v>
      </c>
      <c r="B546"/>
      <c r="C546" t="e">
        <f>$F537</f>
        <v>#N/A</v>
      </c>
      <c r="D546" s="1" t="str">
        <f t="shared" si="183"/>
        <v>T_RENT_EXP - Tenant Rent Expense</v>
      </c>
      <c r="E546"/>
      <c r="F546" s="24" t="str">
        <f>_xll.EVDES(D546)</f>
        <v>Tenant Rent Expense</v>
      </c>
      <c r="G546" s="19">
        <f ca="1">SUMIFS(OFFSET('BPC Data'!$F:$F,0,Summary!G$2),'BPC Data'!$E:$E,Summary!$D546,'BPC Data'!$B:$B,Summary!$C546)</f>
        <v>0</v>
      </c>
      <c r="H546" s="183">
        <f ca="1">SUMIFS(OFFSET('BPC Data'!$F:$F,0,Summary!H$2),'BPC Data'!$E:$E,Summary!$D546,'BPC Data'!$B:$B,Summary!$C546)</f>
        <v>0</v>
      </c>
      <c r="I546" s="19">
        <f ca="1">SUMIFS(OFFSET('BPC Data'!$F:$F,0,Summary!I$2),'BPC Data'!$E:$E,Summary!$D546,'BPC Data'!$B:$B,Summary!$C546)</f>
        <v>0</v>
      </c>
      <c r="J546" s="183">
        <f ca="1">SUMIFS(OFFSET('BPC Data'!$F:$F,0,Summary!J$2),'BPC Data'!$E:$E,Summary!$D546,'BPC Data'!$B:$B,Summary!$C546)</f>
        <v>0</v>
      </c>
      <c r="K546" s="19">
        <f ca="1">SUMIFS(OFFSET('BPC Data'!$F:$F,0,Summary!K$2),'BPC Data'!$E:$E,Summary!$D546,'BPC Data'!$B:$B,Summary!$C546)</f>
        <v>0</v>
      </c>
      <c r="L546" s="183">
        <f ca="1">SUMIFS(OFFSET('BPC Data'!$F:$F,0,Summary!L$2),'BPC Data'!$E:$E,Summary!$D546,'BPC Data'!$B:$B,Summary!$C546)</f>
        <v>0</v>
      </c>
      <c r="M546" s="19">
        <f ca="1">SUMIFS(OFFSET('BPC Data'!$F:$F,0,Summary!M$2),'BPC Data'!$E:$E,Summary!$D546,'BPC Data'!$B:$B,Summary!$C546)</f>
        <v>0</v>
      </c>
      <c r="N546" s="183">
        <f ca="1">SUMIFS(OFFSET('BPC Data'!$F:$F,0,Summary!N$2),'BPC Data'!$E:$E,Summary!$D546,'BPC Data'!$B:$B,Summary!$C546)</f>
        <v>0</v>
      </c>
      <c r="O546" s="19">
        <f ca="1">SUMIFS(OFFSET('BPC Data'!$F:$F,0,Summary!O$2),'BPC Data'!$E:$E,Summary!$D546,'BPC Data'!$B:$B,Summary!$C546)</f>
        <v>0</v>
      </c>
      <c r="P546" s="183">
        <f ca="1">SUMIFS(OFFSET('BPC Data'!$F:$F,0,Summary!P$2),'BPC Data'!$E:$E,Summary!$D546,'BPC Data'!$B:$B,Summary!$C546)</f>
        <v>0</v>
      </c>
      <c r="Q546" s="19">
        <f ca="1">SUMIFS(OFFSET('BPC Data'!$F:$F,0,Summary!Q$2),'BPC Data'!$E:$E,Summary!$D546,'BPC Data'!$B:$B,Summary!$C546)</f>
        <v>0</v>
      </c>
      <c r="R546" s="183">
        <f ca="1">SUMIFS(OFFSET('BPC Data'!$F:$F,0,Summary!R$2),'BPC Data'!$E:$E,Summary!$D546,'BPC Data'!$B:$B,Summary!$C546)</f>
        <v>0</v>
      </c>
      <c r="S546" s="187">
        <f t="shared" ca="1" si="175"/>
        <v>0</v>
      </c>
      <c r="T546" s="181"/>
      <c r="AC546" s="228"/>
    </row>
    <row r="547" spans="1:29" s="17" customFormat="1" ht="15.75" outlineLevel="1" thickBot="1" x14ac:dyDescent="0.3">
      <c r="A547" s="17">
        <f t="shared" si="182"/>
        <v>49</v>
      </c>
      <c r="B547"/>
      <c r="C547"/>
      <c r="D547" s="1" t="str">
        <f t="shared" si="183"/>
        <v>x</v>
      </c>
      <c r="E547"/>
      <c r="F547" s="24" t="s">
        <v>0</v>
      </c>
      <c r="G547" s="12" t="e">
        <f ca="1">G545/G546</f>
        <v>#DIV/0!</v>
      </c>
      <c r="H547" s="184" t="e">
        <f t="shared" ref="H547:I547" ca="1" si="184">H545/H546</f>
        <v>#DIV/0!</v>
      </c>
      <c r="I547" s="12" t="e">
        <f t="shared" ca="1" si="184"/>
        <v>#DIV/0!</v>
      </c>
      <c r="J547" s="184" t="e">
        <f t="shared" ref="J547:R547" ca="1" si="185">J545/J546</f>
        <v>#DIV/0!</v>
      </c>
      <c r="K547" s="12" t="e">
        <f t="shared" ca="1" si="185"/>
        <v>#DIV/0!</v>
      </c>
      <c r="L547" s="184" t="e">
        <f t="shared" ca="1" si="185"/>
        <v>#DIV/0!</v>
      </c>
      <c r="M547" s="12" t="e">
        <f t="shared" ca="1" si="185"/>
        <v>#DIV/0!</v>
      </c>
      <c r="N547" s="184" t="e">
        <f t="shared" ca="1" si="185"/>
        <v>#DIV/0!</v>
      </c>
      <c r="O547" s="12" t="e">
        <f t="shared" ca="1" si="185"/>
        <v>#DIV/0!</v>
      </c>
      <c r="P547" s="184" t="e">
        <f t="shared" ca="1" si="185"/>
        <v>#DIV/0!</v>
      </c>
      <c r="Q547" s="12" t="e">
        <f t="shared" ca="1" si="185"/>
        <v>#DIV/0!</v>
      </c>
      <c r="R547" s="184" t="e">
        <f t="shared" ca="1" si="185"/>
        <v>#DIV/0!</v>
      </c>
      <c r="S547" s="187" t="e">
        <f t="shared" ca="1" si="175"/>
        <v>#DIV/0!</v>
      </c>
      <c r="T547" s="262" t="s">
        <v>1604</v>
      </c>
      <c r="U547" s="262"/>
      <c r="V547" s="262"/>
      <c r="W547" s="229"/>
      <c r="X547" s="231" t="s">
        <v>1608</v>
      </c>
      <c r="Y547" s="231"/>
      <c r="Z547" s="229" t="s">
        <v>1607</v>
      </c>
      <c r="AA547" s="229"/>
    </row>
    <row r="548" spans="1:29" s="8" customFormat="1" ht="30.75" customHeight="1" outlineLevel="1" thickBot="1" x14ac:dyDescent="0.3">
      <c r="D548" s="5"/>
      <c r="F548" s="9"/>
      <c r="G548" s="18"/>
      <c r="H548" s="182"/>
      <c r="I548" s="18"/>
      <c r="J548" s="182"/>
      <c r="K548" s="18"/>
      <c r="L548" s="182"/>
      <c r="M548" s="18"/>
      <c r="N548" s="182"/>
      <c r="O548" s="18"/>
      <c r="P548" s="182"/>
      <c r="Q548" s="18"/>
      <c r="R548" s="182"/>
      <c r="S548" s="187">
        <f t="shared" si="175"/>
        <v>0</v>
      </c>
      <c r="T548" s="230" t="s">
        <v>1605</v>
      </c>
      <c r="U548" s="230" t="s">
        <v>1606</v>
      </c>
      <c r="X548" s="8" t="s">
        <v>1609</v>
      </c>
      <c r="Z548" s="8" t="s">
        <v>1610</v>
      </c>
      <c r="AC548" s="232" t="s">
        <v>1630</v>
      </c>
    </row>
    <row r="549" spans="1:29" x14ac:dyDescent="0.25">
      <c r="F549" s="23" t="str">
        <f>$F$4&amp;" Total"</f>
        <v>Signature Healthcare Total</v>
      </c>
      <c r="G549" s="13"/>
      <c r="I549" s="13"/>
      <c r="K549" s="13"/>
      <c r="M549" s="13"/>
      <c r="O549" s="13"/>
      <c r="Q549" s="13"/>
      <c r="S549" s="187">
        <f t="shared" si="175"/>
        <v>0</v>
      </c>
    </row>
    <row r="550" spans="1:29" x14ac:dyDescent="0.25">
      <c r="D550" s="3" t="str">
        <f>$D538</f>
        <v>PAY_PAT_DAYS - Total Payor Patient Days</v>
      </c>
      <c r="E550" s="17"/>
      <c r="F550" s="24" t="str">
        <f>_xll.EVDES(D550)</f>
        <v>Total Payor Patient Days</v>
      </c>
      <c r="G550" s="19">
        <f t="shared" ref="G550:R558" ca="1" si="186">SUMIFS(G$10:G$547,$F$10:$F$547,$F550)</f>
        <v>102900</v>
      </c>
      <c r="H550" s="183">
        <f t="shared" ca="1" si="186"/>
        <v>105506</v>
      </c>
      <c r="I550" s="19">
        <f t="shared" ca="1" si="186"/>
        <v>99937</v>
      </c>
      <c r="J550" s="183">
        <f t="shared" ca="1" si="186"/>
        <v>100100</v>
      </c>
      <c r="K550" s="19">
        <f t="shared" ca="1" si="186"/>
        <v>102535</v>
      </c>
      <c r="L550" s="183">
        <f t="shared" ca="1" si="186"/>
        <v>93734</v>
      </c>
      <c r="M550" s="19">
        <f t="shared" ca="1" si="186"/>
        <v>104594</v>
      </c>
      <c r="N550" s="183">
        <f t="shared" ca="1" si="186"/>
        <v>102028</v>
      </c>
      <c r="O550" s="19">
        <f t="shared" ca="1" si="186"/>
        <v>107095</v>
      </c>
      <c r="P550" s="183">
        <f t="shared" ca="1" si="186"/>
        <v>104197</v>
      </c>
      <c r="Q550" s="19">
        <f t="shared" ca="1" si="186"/>
        <v>108857</v>
      </c>
      <c r="R550" s="183">
        <f t="shared" ca="1" si="186"/>
        <v>108563</v>
      </c>
      <c r="S550" s="187">
        <f ca="1">SUM(G550:R550)</f>
        <v>1240046</v>
      </c>
      <c r="T550" s="20">
        <f>SUM(X550-Z550)</f>
        <v>1240046</v>
      </c>
      <c r="U550" s="28">
        <f ca="1">T550-S550</f>
        <v>0</v>
      </c>
      <c r="X550" s="20">
        <f>'Cons SABRA SNFs Only'!O896</f>
        <v>1242428</v>
      </c>
      <c r="Z550" s="20">
        <f>Bluffton!O490</f>
        <v>2382</v>
      </c>
    </row>
    <row r="551" spans="1:29" x14ac:dyDescent="0.25">
      <c r="D551" s="3" t="str">
        <f t="shared" ref="D551:D559" si="187">$D539</f>
        <v>A_BEDS_TOTAL - Total Available Beds</v>
      </c>
      <c r="E551" s="17"/>
      <c r="F551" s="24" t="str">
        <f>_xll.EVDES(D551)</f>
        <v>Total Available Beds</v>
      </c>
      <c r="G551" s="19">
        <f t="shared" ca="1" si="186"/>
        <v>4598</v>
      </c>
      <c r="H551" s="183">
        <f t="shared" ca="1" si="186"/>
        <v>4598</v>
      </c>
      <c r="I551" s="19">
        <f t="shared" ca="1" si="186"/>
        <v>4598</v>
      </c>
      <c r="J551" s="183">
        <f t="shared" ca="1" si="186"/>
        <v>4598</v>
      </c>
      <c r="K551" s="19">
        <f t="shared" ca="1" si="186"/>
        <v>4598</v>
      </c>
      <c r="L551" s="183">
        <f t="shared" ca="1" si="186"/>
        <v>4598</v>
      </c>
      <c r="M551" s="19">
        <f t="shared" ca="1" si="186"/>
        <v>4598</v>
      </c>
      <c r="N551" s="183">
        <f t="shared" ca="1" si="186"/>
        <v>4598</v>
      </c>
      <c r="O551" s="19">
        <f t="shared" ca="1" si="186"/>
        <v>4598</v>
      </c>
      <c r="P551" s="183">
        <f t="shared" ca="1" si="186"/>
        <v>4598</v>
      </c>
      <c r="Q551" s="19">
        <f t="shared" ca="1" si="186"/>
        <v>4598</v>
      </c>
      <c r="R551" s="183">
        <f t="shared" ca="1" si="186"/>
        <v>4598</v>
      </c>
      <c r="S551" s="187">
        <f ca="1">R551</f>
        <v>4598</v>
      </c>
      <c r="T551" s="20">
        <f t="shared" ref="T551:T558" si="188">SUM(X551-Z551)</f>
        <v>4598</v>
      </c>
      <c r="U551" s="28">
        <f t="shared" ref="U551:U553" ca="1" si="189">T551-S551</f>
        <v>0</v>
      </c>
      <c r="X551" s="20">
        <f>'Cons SABRA SNFs Only'!N898/31</f>
        <v>4598</v>
      </c>
      <c r="Z551" s="20"/>
    </row>
    <row r="552" spans="1:29" x14ac:dyDescent="0.25">
      <c r="D552" s="3" t="str">
        <f t="shared" si="187"/>
        <v>T_REVENUES - Total Tenant Revenues</v>
      </c>
      <c r="F552" s="24" t="str">
        <f>_xll.EVDES(D552)</f>
        <v>Total Tenant Revenues</v>
      </c>
      <c r="G552" s="19">
        <f t="shared" ca="1" si="186"/>
        <v>32385404</v>
      </c>
      <c r="H552" s="183">
        <f t="shared" ca="1" si="186"/>
        <v>35093185</v>
      </c>
      <c r="I552" s="19">
        <f t="shared" ca="1" si="186"/>
        <v>35201424</v>
      </c>
      <c r="J552" s="183">
        <f t="shared" ca="1" si="186"/>
        <v>40439004</v>
      </c>
      <c r="K552" s="19">
        <f t="shared" ca="1" si="186"/>
        <v>32377854</v>
      </c>
      <c r="L552" s="183">
        <f t="shared" ca="1" si="186"/>
        <v>29011751</v>
      </c>
      <c r="M552" s="19">
        <f t="shared" ca="1" si="186"/>
        <v>34073201</v>
      </c>
      <c r="N552" s="183">
        <f t="shared" ca="1" si="186"/>
        <v>30314010</v>
      </c>
      <c r="O552" s="19">
        <f t="shared" ca="1" si="186"/>
        <v>32159328</v>
      </c>
      <c r="P552" s="183">
        <f t="shared" ca="1" si="186"/>
        <v>30618604</v>
      </c>
      <c r="Q552" s="19">
        <f t="shared" ca="1" si="186"/>
        <v>32038469</v>
      </c>
      <c r="R552" s="183">
        <f t="shared" ca="1" si="186"/>
        <v>33065258</v>
      </c>
      <c r="S552" s="187">
        <f t="shared" ca="1" si="175"/>
        <v>396777492</v>
      </c>
      <c r="T552" s="20">
        <f t="shared" si="188"/>
        <v>396777462.15999997</v>
      </c>
      <c r="U552" s="28">
        <f t="shared" ca="1" si="189"/>
        <v>-29.840000033378601</v>
      </c>
      <c r="X552" s="20">
        <f>'Cons SABRA SNFs Only'!O289</f>
        <v>397890827.38999999</v>
      </c>
      <c r="Z552" s="20">
        <f>Bluffton!O120</f>
        <v>1113365.23</v>
      </c>
    </row>
    <row r="553" spans="1:29" x14ac:dyDescent="0.25">
      <c r="D553" s="3" t="str">
        <f t="shared" si="187"/>
        <v>T_OPEX - Tenant Operating Expenses</v>
      </c>
      <c r="F553" s="24" t="str">
        <f>_xll.EVDES(D553)</f>
        <v>Tenant Operating Expenses</v>
      </c>
      <c r="G553" s="19">
        <f t="shared" ca="1" si="186"/>
        <v>27001954</v>
      </c>
      <c r="H553" s="183">
        <f t="shared" ca="1" si="186"/>
        <v>28327864</v>
      </c>
      <c r="I553" s="19">
        <f t="shared" ca="1" si="186"/>
        <v>29183626</v>
      </c>
      <c r="J553" s="183">
        <f t="shared" ca="1" si="186"/>
        <v>35433680</v>
      </c>
      <c r="K553" s="19">
        <f t="shared" ca="1" si="186"/>
        <v>27772273</v>
      </c>
      <c r="L553" s="183">
        <f t="shared" ca="1" si="186"/>
        <v>25165998</v>
      </c>
      <c r="M553" s="19">
        <f t="shared" ca="1" si="186"/>
        <v>26761661</v>
      </c>
      <c r="N553" s="183">
        <f t="shared" ca="1" si="186"/>
        <v>25585572</v>
      </c>
      <c r="O553" s="19">
        <f t="shared" ca="1" si="186"/>
        <v>26113798</v>
      </c>
      <c r="P553" s="183">
        <f t="shared" ca="1" si="186"/>
        <v>26275976</v>
      </c>
      <c r="Q553" s="19">
        <f t="shared" ca="1" si="186"/>
        <v>27201245</v>
      </c>
      <c r="R553" s="183">
        <f t="shared" ca="1" si="186"/>
        <v>27653885</v>
      </c>
      <c r="S553" s="187">
        <f t="shared" ca="1" si="175"/>
        <v>332477532</v>
      </c>
      <c r="T553" s="20">
        <f t="shared" si="188"/>
        <v>332477546.06999999</v>
      </c>
      <c r="U553" s="28">
        <f t="shared" ca="1" si="189"/>
        <v>14.069999992847443</v>
      </c>
      <c r="X553" s="20">
        <f>'Cons SABRA SNFs Only'!O825</f>
        <v>333432762.68000001</v>
      </c>
      <c r="Z553" s="20">
        <f>Bluffton!O430</f>
        <v>955216.61</v>
      </c>
    </row>
    <row r="554" spans="1:29" x14ac:dyDescent="0.25">
      <c r="D554" s="3" t="str">
        <f t="shared" si="187"/>
        <v>T_BAD_DEBT - Tenant Bad Debt Expense</v>
      </c>
      <c r="F554" s="24" t="str">
        <f>_xll.EVDES(D554)</f>
        <v>Tenant Bad Debt Expense</v>
      </c>
      <c r="G554" s="19">
        <f t="shared" ca="1" si="186"/>
        <v>1140569</v>
      </c>
      <c r="H554" s="183">
        <f t="shared" ca="1" si="186"/>
        <v>815099</v>
      </c>
      <c r="I554" s="19">
        <f t="shared" ca="1" si="186"/>
        <v>587118</v>
      </c>
      <c r="J554" s="183">
        <f t="shared" ca="1" si="186"/>
        <v>1244813</v>
      </c>
      <c r="K554" s="19">
        <f t="shared" ca="1" si="186"/>
        <v>586095</v>
      </c>
      <c r="L554" s="183">
        <f t="shared" ca="1" si="186"/>
        <v>567550</v>
      </c>
      <c r="M554" s="19">
        <f t="shared" ca="1" si="186"/>
        <v>12974</v>
      </c>
      <c r="N554" s="183">
        <f t="shared" ca="1" si="186"/>
        <v>266814</v>
      </c>
      <c r="O554" s="19">
        <f t="shared" ca="1" si="186"/>
        <v>102364</v>
      </c>
      <c r="P554" s="183">
        <f t="shared" ca="1" si="186"/>
        <v>357684</v>
      </c>
      <c r="Q554" s="19">
        <f t="shared" ca="1" si="186"/>
        <v>316183</v>
      </c>
      <c r="R554" s="183">
        <f t="shared" ca="1" si="186"/>
        <v>281960</v>
      </c>
      <c r="S554" s="187">
        <f t="shared" ca="1" si="175"/>
        <v>6279223</v>
      </c>
      <c r="T554" s="20">
        <f t="shared" si="188"/>
        <v>0</v>
      </c>
      <c r="U554" s="28"/>
      <c r="X554" s="20"/>
      <c r="Z554" s="20"/>
    </row>
    <row r="555" spans="1:29" x14ac:dyDescent="0.25">
      <c r="D555" s="3" t="str">
        <f t="shared" si="187"/>
        <v>T_EBITDARM - EBITDARM</v>
      </c>
      <c r="F555" s="24" t="str">
        <f>_xll.EVDES(D555)</f>
        <v>EBITDARM</v>
      </c>
      <c r="G555" s="19">
        <f t="shared" ca="1" si="186"/>
        <v>5383450</v>
      </c>
      <c r="H555" s="183">
        <f t="shared" ca="1" si="186"/>
        <v>6765321</v>
      </c>
      <c r="I555" s="19">
        <f t="shared" ca="1" si="186"/>
        <v>6017798</v>
      </c>
      <c r="J555" s="183">
        <f t="shared" ca="1" si="186"/>
        <v>5005324</v>
      </c>
      <c r="K555" s="19">
        <f t="shared" ca="1" si="186"/>
        <v>4605581</v>
      </c>
      <c r="L555" s="183">
        <f t="shared" ca="1" si="186"/>
        <v>3845753</v>
      </c>
      <c r="M555" s="19">
        <f t="shared" ca="1" si="186"/>
        <v>7311540</v>
      </c>
      <c r="N555" s="183">
        <f t="shared" ca="1" si="186"/>
        <v>4728438</v>
      </c>
      <c r="O555" s="19">
        <f t="shared" ca="1" si="186"/>
        <v>6045530</v>
      </c>
      <c r="P555" s="183">
        <f t="shared" ca="1" si="186"/>
        <v>4342628</v>
      </c>
      <c r="Q555" s="19">
        <f t="shared" ca="1" si="186"/>
        <v>4837224</v>
      </c>
      <c r="R555" s="183">
        <f t="shared" ca="1" si="186"/>
        <v>5411373</v>
      </c>
      <c r="S555" s="187">
        <f t="shared" ca="1" si="175"/>
        <v>64299960</v>
      </c>
      <c r="T555" s="20">
        <f t="shared" si="188"/>
        <v>64299916.089999981</v>
      </c>
      <c r="U555" s="28">
        <f t="shared" ref="U555:U558" ca="1" si="190">T555-S555</f>
        <v>-43.910000018775463</v>
      </c>
      <c r="X555" s="20">
        <f>+X552-X553</f>
        <v>64458064.709999979</v>
      </c>
      <c r="Z555" s="20">
        <f>+Z552-Z553</f>
        <v>158148.62</v>
      </c>
    </row>
    <row r="556" spans="1:29" x14ac:dyDescent="0.25">
      <c r="D556" s="3" t="str">
        <f t="shared" si="187"/>
        <v>T_MGMT_FEE - Tenant Management Fee - Actual</v>
      </c>
      <c r="F556" s="24" t="str">
        <f>_xll.EVDES(D556)</f>
        <v>Tenant Management Fee - Actual</v>
      </c>
      <c r="G556" s="19">
        <f t="shared" ca="1" si="186"/>
        <v>1625354</v>
      </c>
      <c r="H556" s="183">
        <f t="shared" ca="1" si="186"/>
        <v>1772205</v>
      </c>
      <c r="I556" s="19">
        <f t="shared" ca="1" si="186"/>
        <v>1777671</v>
      </c>
      <c r="J556" s="183">
        <f t="shared" ca="1" si="186"/>
        <v>2022415</v>
      </c>
      <c r="K556" s="19">
        <f t="shared" ca="1" si="186"/>
        <v>1636804</v>
      </c>
      <c r="L556" s="183">
        <f t="shared" ca="1" si="186"/>
        <v>1465094</v>
      </c>
      <c r="M556" s="19">
        <f t="shared" ca="1" si="186"/>
        <v>1720694</v>
      </c>
      <c r="N556" s="183">
        <f t="shared" ca="1" si="186"/>
        <v>1530859</v>
      </c>
      <c r="O556" s="19">
        <f t="shared" ca="1" si="186"/>
        <v>1624048</v>
      </c>
      <c r="P556" s="183">
        <f t="shared" ca="1" si="186"/>
        <v>1546238</v>
      </c>
      <c r="Q556" s="19">
        <f t="shared" ca="1" si="186"/>
        <v>1617945</v>
      </c>
      <c r="R556" s="183">
        <f t="shared" ca="1" si="186"/>
        <v>1669796</v>
      </c>
      <c r="S556" s="187">
        <f t="shared" ca="1" si="175"/>
        <v>20009123</v>
      </c>
      <c r="T556" s="20">
        <f t="shared" si="188"/>
        <v>20009116.48</v>
      </c>
      <c r="U556" s="28">
        <f t="shared" ca="1" si="190"/>
        <v>-6.5199999995529652</v>
      </c>
      <c r="X556" s="20">
        <f>'Cons SABRA SNFs Only'!O834</f>
        <v>20070565.309999999</v>
      </c>
      <c r="Z556" s="20">
        <f>Bluffton!O439</f>
        <v>61448.83</v>
      </c>
    </row>
    <row r="557" spans="1:29" x14ac:dyDescent="0.25">
      <c r="D557" s="3" t="str">
        <f t="shared" si="187"/>
        <v>T_EBITDAR - EBITDAR</v>
      </c>
      <c r="F557" s="24" t="str">
        <f>_xll.EVDES(D557)</f>
        <v>EBITDAR</v>
      </c>
      <c r="G557" s="19">
        <f t="shared" ca="1" si="186"/>
        <v>3758096</v>
      </c>
      <c r="H557" s="183">
        <f t="shared" ca="1" si="186"/>
        <v>4993116</v>
      </c>
      <c r="I557" s="19">
        <f t="shared" ca="1" si="186"/>
        <v>4240127</v>
      </c>
      <c r="J557" s="183">
        <f t="shared" ca="1" si="186"/>
        <v>2982909</v>
      </c>
      <c r="K557" s="19">
        <f t="shared" ca="1" si="186"/>
        <v>2968777</v>
      </c>
      <c r="L557" s="183">
        <f t="shared" ca="1" si="186"/>
        <v>2380659</v>
      </c>
      <c r="M557" s="19">
        <f t="shared" ca="1" si="186"/>
        <v>5590846</v>
      </c>
      <c r="N557" s="183">
        <f t="shared" ca="1" si="186"/>
        <v>3197579</v>
      </c>
      <c r="O557" s="19">
        <f t="shared" ca="1" si="186"/>
        <v>4421482</v>
      </c>
      <c r="P557" s="183">
        <f t="shared" ca="1" si="186"/>
        <v>2796390</v>
      </c>
      <c r="Q557" s="19">
        <f t="shared" ca="1" si="186"/>
        <v>3219279</v>
      </c>
      <c r="R557" s="183">
        <f t="shared" ca="1" si="186"/>
        <v>3741577</v>
      </c>
      <c r="S557" s="187">
        <f t="shared" ca="1" si="175"/>
        <v>44290837</v>
      </c>
      <c r="T557" s="20">
        <f t="shared" si="188"/>
        <v>44290799.609999977</v>
      </c>
      <c r="U557" s="28">
        <f t="shared" ca="1" si="190"/>
        <v>-37.390000022947788</v>
      </c>
      <c r="X557" s="20">
        <f>+X555-X556</f>
        <v>44387499.399999976</v>
      </c>
      <c r="Z557" s="20">
        <f>+Z555-Z556</f>
        <v>96699.79</v>
      </c>
    </row>
    <row r="558" spans="1:29" x14ac:dyDescent="0.25">
      <c r="D558" s="3" t="str">
        <f t="shared" si="187"/>
        <v>T_RENT_EXP - Tenant Rent Expense</v>
      </c>
      <c r="F558" s="24" t="str">
        <f>_xll.EVDES(D558)</f>
        <v>Tenant Rent Expense</v>
      </c>
      <c r="G558" s="19">
        <f t="shared" ca="1" si="186"/>
        <v>4249304</v>
      </c>
      <c r="H558" s="183">
        <f t="shared" ca="1" si="186"/>
        <v>4249304</v>
      </c>
      <c r="I558" s="19">
        <f t="shared" ca="1" si="186"/>
        <v>4249304</v>
      </c>
      <c r="J558" s="183">
        <f t="shared" ca="1" si="186"/>
        <v>4355533</v>
      </c>
      <c r="K558" s="19">
        <f t="shared" ca="1" si="186"/>
        <v>4355533</v>
      </c>
      <c r="L558" s="183">
        <f t="shared" ca="1" si="186"/>
        <v>4355533</v>
      </c>
      <c r="M558" s="19">
        <f t="shared" ca="1" si="186"/>
        <v>4355533</v>
      </c>
      <c r="N558" s="183">
        <f t="shared" ca="1" si="186"/>
        <v>4355533</v>
      </c>
      <c r="O558" s="19">
        <f t="shared" ca="1" si="186"/>
        <v>4355533</v>
      </c>
      <c r="P558" s="183">
        <f t="shared" ca="1" si="186"/>
        <v>4355533</v>
      </c>
      <c r="Q558" s="19">
        <f t="shared" ca="1" si="186"/>
        <v>4355533</v>
      </c>
      <c r="R558" s="183">
        <f t="shared" ca="1" si="186"/>
        <v>4355533</v>
      </c>
      <c r="S558" s="187">
        <f t="shared" ca="1" si="175"/>
        <v>51947709</v>
      </c>
      <c r="T558" s="20">
        <f t="shared" si="188"/>
        <v>51947721.179999992</v>
      </c>
      <c r="U558" s="28">
        <f t="shared" ca="1" si="190"/>
        <v>12.179999992251396</v>
      </c>
      <c r="X558" s="20">
        <f>'Cons SABRA SNFs Only'!O840+'Cons SABRA SNFs Only'!O848</f>
        <v>52117690.769999996</v>
      </c>
      <c r="Z558" s="20">
        <f>Bluffton!O445</f>
        <v>169969.59</v>
      </c>
    </row>
    <row r="559" spans="1:29" x14ac:dyDescent="0.25">
      <c r="D559" s="3" t="str">
        <f t="shared" si="187"/>
        <v>x</v>
      </c>
      <c r="F559" s="25" t="s">
        <v>0</v>
      </c>
      <c r="G559" s="14">
        <f ca="1">G557/G558</f>
        <v>0.88440271630365819</v>
      </c>
      <c r="H559" s="186">
        <f t="shared" ref="H559" ca="1" si="191">H557/H558</f>
        <v>1.1750432541423255</v>
      </c>
      <c r="I559" s="14">
        <f t="shared" ref="I559:P559" ca="1" si="192">I557/I558</f>
        <v>0.9978403522082675</v>
      </c>
      <c r="J559" s="186">
        <f t="shared" ca="1" si="192"/>
        <v>0.68485510269351646</v>
      </c>
      <c r="K559" s="14">
        <f t="shared" ca="1" si="192"/>
        <v>0.68161049405434426</v>
      </c>
      <c r="L559" s="186">
        <f t="shared" ca="1" si="192"/>
        <v>0.54658270296654854</v>
      </c>
      <c r="M559" s="14">
        <f t="shared" ca="1" si="192"/>
        <v>1.2836192493547862</v>
      </c>
      <c r="N559" s="186">
        <f t="shared" ca="1" si="192"/>
        <v>0.73414183752022999</v>
      </c>
      <c r="O559" s="14">
        <f t="shared" ca="1" si="192"/>
        <v>1.0151414304517954</v>
      </c>
      <c r="P559" s="186">
        <f t="shared" ca="1" si="192"/>
        <v>0.64203164113324362</v>
      </c>
      <c r="Q559" s="14">
        <f t="shared" ref="Q559:R559" ca="1" si="193">Q557/Q558</f>
        <v>0.73912400617788909</v>
      </c>
      <c r="R559" s="186">
        <f t="shared" ca="1" si="193"/>
        <v>0.85903998431420447</v>
      </c>
      <c r="S559" s="187"/>
    </row>
    <row r="561" spans="6:18" x14ac:dyDescent="0.25">
      <c r="F561" s="7"/>
    </row>
    <row r="562" spans="6:18" x14ac:dyDescent="0.25">
      <c r="H562"/>
      <c r="J562"/>
      <c r="L562"/>
      <c r="N562"/>
      <c r="P562"/>
      <c r="R562" s="28"/>
    </row>
    <row r="563" spans="6:18" x14ac:dyDescent="0.25">
      <c r="F563" s="188"/>
      <c r="G563" s="28"/>
      <c r="H563" s="28"/>
      <c r="I563" s="28"/>
      <c r="J563" s="28"/>
      <c r="K563" s="28"/>
      <c r="L563" s="28"/>
      <c r="M563" s="28"/>
      <c r="N563" s="28"/>
      <c r="O563" s="28"/>
      <c r="P563" s="28"/>
      <c r="Q563" s="28"/>
      <c r="R563" s="28"/>
    </row>
    <row r="566" spans="6:18" x14ac:dyDescent="0.25">
      <c r="H566"/>
      <c r="J566"/>
      <c r="L566"/>
      <c r="N566"/>
      <c r="P566"/>
      <c r="R566"/>
    </row>
    <row r="567" spans="6:18" x14ac:dyDescent="0.25">
      <c r="G567" s="28"/>
      <c r="H567" s="28"/>
      <c r="I567" s="28"/>
      <c r="J567" s="28"/>
      <c r="K567" s="28"/>
      <c r="L567" s="28"/>
      <c r="M567" s="28"/>
      <c r="N567" s="28"/>
      <c r="O567" s="28"/>
      <c r="P567" s="28"/>
      <c r="Q567" s="28"/>
      <c r="R567" s="28"/>
    </row>
  </sheetData>
  <mergeCells count="1">
    <mergeCell ref="T547:V547"/>
  </mergeCells>
  <pageMargins left="0.2" right="0.2" top="0.75" bottom="0.75" header="0.3" footer="0.3"/>
  <pageSetup paperSize="119" scale="57" fitToHeight="10" orientation="landscape" r:id="rId1"/>
  <headerFooter>
    <oddFooter>&amp;C&amp;P</oddFooter>
  </headerFooter>
  <rowBreaks count="10" manualBreakCount="10">
    <brk id="63" max="16383" man="1"/>
    <brk id="118" max="16383" man="1"/>
    <brk id="162" max="16383" man="1"/>
    <brk id="173" max="16383" man="1"/>
    <brk id="228" max="16383" man="1"/>
    <brk id="283" max="16383" man="1"/>
    <brk id="338" max="16383" man="1"/>
    <brk id="393" max="16383" man="1"/>
    <brk id="448" max="16383" man="1"/>
    <brk id="503" max="16383" man="1"/>
  </rowBreaks>
  <customProperties>
    <customPr name="EpmWorksheetKeyString_GUID" r:id="rId2"/>
    <customPr name="FPMExcelClientCellBasedFunctionStatus" r:id="rId3"/>
    <customPr name="FPMExcelClientRefreshTime" r:id="rId4"/>
  </customProperties>
  <drawing r:id="rId5"/>
  <legacyDrawing r:id="rId6"/>
  <controls>
    <mc:AlternateContent xmlns:mc="http://schemas.openxmlformats.org/markup-compatibility/2006">
      <mc:Choice Requires="x14">
        <control shapeId="2049" r:id="rId7" name="FPMExcelClientSheetOptionstb1">
          <controlPr defaultSize="0" autoLine="0" r:id="rId8">
            <anchor moveWithCells="1" sizeWithCells="1">
              <from>
                <xdr:col>0</xdr:col>
                <xdr:colOff>0</xdr:colOff>
                <xdr:row>1</xdr:row>
                <xdr:rowOff>0</xdr:rowOff>
              </from>
              <to>
                <xdr:col>0</xdr:col>
                <xdr:colOff>0</xdr:colOff>
                <xdr:row>1</xdr:row>
                <xdr:rowOff>0</xdr:rowOff>
              </to>
            </anchor>
          </controlPr>
        </control>
      </mc:Choice>
      <mc:Fallback>
        <control shapeId="2049" r:id="rId7" name="FPMExcelClientSheetOptionstb1"/>
      </mc:Fallback>
    </mc:AlternateContent>
  </control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H26"/>
  <sheetViews>
    <sheetView workbookViewId="0">
      <selection activeCell="H26" sqref="H26"/>
    </sheetView>
  </sheetViews>
  <sheetFormatPr defaultRowHeight="15" x14ac:dyDescent="0.25"/>
  <cols>
    <col min="2" max="2" width="29.28515625" bestFit="1" customWidth="1"/>
    <col min="3" max="3" width="15" bestFit="1" customWidth="1"/>
    <col min="4" max="4" width="14.28515625" bestFit="1" customWidth="1"/>
    <col min="5" max="5" width="15" bestFit="1" customWidth="1"/>
    <col min="7" max="7" width="14.28515625" bestFit="1" customWidth="1"/>
    <col min="8" max="8" width="9.5703125" bestFit="1" customWidth="1"/>
  </cols>
  <sheetData>
    <row r="1" spans="2:5" ht="15.75" thickBot="1" x14ac:dyDescent="0.3">
      <c r="B1" s="65" t="s">
        <v>357</v>
      </c>
      <c r="C1" s="65" t="s">
        <v>355</v>
      </c>
      <c r="D1" s="65" t="s">
        <v>356</v>
      </c>
      <c r="E1" s="65" t="s">
        <v>196</v>
      </c>
    </row>
    <row r="2" spans="2:5" x14ac:dyDescent="0.25">
      <c r="B2" s="68" t="s">
        <v>112</v>
      </c>
      <c r="C2" s="69">
        <f>VLOOKUP(B2,'SCC P&amp;L(Previous Rec)'!A:N,3,0)</f>
        <v>224615.81</v>
      </c>
      <c r="D2" s="69">
        <f>VLOOKUP(B2,'SCC P&amp;L (Previous Rec)'!A:N,4,0)</f>
        <v>203174.39999999999</v>
      </c>
      <c r="E2" s="70">
        <f>C2-D2</f>
        <v>21441.410000000003</v>
      </c>
    </row>
    <row r="3" spans="2:5" ht="15.75" thickBot="1" x14ac:dyDescent="0.3">
      <c r="B3" s="73" t="s">
        <v>116</v>
      </c>
      <c r="C3" s="74">
        <f>VLOOKUP(B3,'SCC P&amp;L(Previous Rec)'!A:N,3,0)</f>
        <v>30499.93</v>
      </c>
      <c r="D3" s="74">
        <f>VLOOKUP(B3,'SCC P&amp;L (Previous Rec)'!A:N,4,0)</f>
        <v>39913.629999999997</v>
      </c>
      <c r="E3" s="75">
        <f t="shared" ref="E3:E23" si="0">C3-D3</f>
        <v>-9413.6999999999971</v>
      </c>
    </row>
    <row r="4" spans="2:5" ht="15.75" thickBot="1" x14ac:dyDescent="0.3">
      <c r="B4" s="76" t="s">
        <v>217</v>
      </c>
      <c r="C4" s="77">
        <f>VLOOKUP(B4,'SCC P&amp;L(Previous Rec)'!A:N,3,0)</f>
        <v>8385470.4799999986</v>
      </c>
      <c r="D4" s="77">
        <f>VLOOKUP(B4,'SCC P&amp;L (Previous Rec)'!A:N,4,0)</f>
        <v>8000745</v>
      </c>
      <c r="E4" s="78">
        <f t="shared" si="0"/>
        <v>384725.47999999858</v>
      </c>
    </row>
    <row r="5" spans="2:5" x14ac:dyDescent="0.25">
      <c r="B5" s="68" t="s">
        <v>128</v>
      </c>
      <c r="C5" s="69">
        <f>VLOOKUP(B5,'SCC P&amp;L(Previous Rec)'!A:N,3,0)</f>
        <v>7531.28</v>
      </c>
      <c r="D5" s="69">
        <f>VLOOKUP(B5,'SCC P&amp;L (Previous Rec)'!A:N,4,0)</f>
        <v>5494.07</v>
      </c>
      <c r="E5" s="70">
        <f t="shared" si="0"/>
        <v>2037.21</v>
      </c>
    </row>
    <row r="6" spans="2:5" x14ac:dyDescent="0.25">
      <c r="B6" s="71" t="s">
        <v>131</v>
      </c>
      <c r="C6" s="64">
        <f>VLOOKUP(B6,'SCC P&amp;L(Previous Rec)'!A:N,3,0)</f>
        <v>115008.28</v>
      </c>
      <c r="D6" s="64">
        <f>VLOOKUP(B6,'SCC P&amp;L (Previous Rec)'!A:N,4,0)</f>
        <v>157418.48000000001</v>
      </c>
      <c r="E6" s="72">
        <f t="shared" si="0"/>
        <v>-42410.200000000012</v>
      </c>
    </row>
    <row r="7" spans="2:5" ht="15.75" thickBot="1" x14ac:dyDescent="0.3">
      <c r="B7" s="73" t="s">
        <v>251</v>
      </c>
      <c r="C7" s="74">
        <f>VLOOKUP(B7,'SCC P&amp;L(Previous Rec)'!A:N,3,0)</f>
        <v>38551.870000000003</v>
      </c>
      <c r="D7" s="74">
        <f>VLOOKUP(B7,'SCC P&amp;L (Previous Rec)'!A:N,4,0)</f>
        <v>48732.63</v>
      </c>
      <c r="E7" s="75">
        <f t="shared" si="0"/>
        <v>-10180.759999999995</v>
      </c>
    </row>
    <row r="8" spans="2:5" ht="15.75" thickBot="1" x14ac:dyDescent="0.3">
      <c r="B8" s="76" t="s">
        <v>138</v>
      </c>
      <c r="C8" s="77">
        <f>VLOOKUP(B8,'SCC P&amp;L(Previous Rec)'!A:N,3,0)</f>
        <v>4643817.3600000013</v>
      </c>
      <c r="D8" s="77">
        <f>VLOOKUP(B8,'SCC P&amp;L (Previous Rec)'!A:N,4,0)</f>
        <v>4356308.05</v>
      </c>
      <c r="E8" s="78">
        <f>C8-D8</f>
        <v>287509.31000000145</v>
      </c>
    </row>
    <row r="9" spans="2:5" ht="15.75" thickBot="1" x14ac:dyDescent="0.3">
      <c r="B9" s="79" t="s">
        <v>258</v>
      </c>
      <c r="C9" s="80">
        <f>VLOOKUP(B9,'SCC P&amp;L(Previous Rec)'!A:N,3,0)</f>
        <v>49032.08</v>
      </c>
      <c r="D9" s="80">
        <f>VLOOKUP(B9,'SCC P&amp;L (Previous Rec)'!A:N,4,0)</f>
        <v>54163.38</v>
      </c>
      <c r="E9" s="80">
        <f t="shared" si="0"/>
        <v>-5131.2999999999956</v>
      </c>
    </row>
    <row r="10" spans="2:5" ht="15.75" thickBot="1" x14ac:dyDescent="0.3">
      <c r="B10" s="76" t="s">
        <v>139</v>
      </c>
      <c r="C10" s="77">
        <f>VLOOKUP(B10,'SCC P&amp;L(Previous Rec)'!A:N,3,0)</f>
        <v>832472.33</v>
      </c>
      <c r="D10" s="77">
        <f>VLOOKUP(B10,'SCC P&amp;L (Previous Rec)'!A:N,4,0)</f>
        <v>809857.17</v>
      </c>
      <c r="E10" s="78">
        <f t="shared" si="0"/>
        <v>22615.159999999916</v>
      </c>
    </row>
    <row r="11" spans="2:5" ht="15.75" thickBot="1" x14ac:dyDescent="0.3">
      <c r="B11" s="79" t="s">
        <v>272</v>
      </c>
      <c r="C11" s="80">
        <f>VLOOKUP(B11,'SCC P&amp;L(Previous Rec)'!A:N,3,0)</f>
        <v>646313.30000000005</v>
      </c>
      <c r="D11" s="80">
        <f>VLOOKUP(B11,'SCC P&amp;L (Previous Rec)'!A:N,4,0)</f>
        <v>640170.6</v>
      </c>
      <c r="E11" s="80">
        <f t="shared" si="0"/>
        <v>6142.7000000000698</v>
      </c>
    </row>
    <row r="12" spans="2:5" ht="15.75" thickBot="1" x14ac:dyDescent="0.3">
      <c r="B12" s="76" t="s">
        <v>140</v>
      </c>
      <c r="C12" s="77">
        <f>VLOOKUP(B12,'SCC P&amp;L(Previous Rec)'!A:N,3,0)</f>
        <v>1647118.1699999997</v>
      </c>
      <c r="D12" s="77">
        <f>VLOOKUP(B12,'SCC P&amp;L (Previous Rec)'!A:N,4,0)</f>
        <v>1614346.06</v>
      </c>
      <c r="E12" s="78">
        <f t="shared" si="0"/>
        <v>32772.109999999637</v>
      </c>
    </row>
    <row r="13" spans="2:5" x14ac:dyDescent="0.25">
      <c r="B13" s="66" t="s">
        <v>13</v>
      </c>
      <c r="C13" s="67">
        <f>VLOOKUP(B13,'SCC P&amp;L(Previous Rec)'!A:N,3,0)</f>
        <v>230618.17</v>
      </c>
      <c r="D13" s="67">
        <f>VLOOKUP(B13,'SCC P&amp;L (Previous Rec)'!A:N,4,0)</f>
        <v>186535.83</v>
      </c>
      <c r="E13" s="67">
        <f t="shared" si="0"/>
        <v>44082.340000000026</v>
      </c>
    </row>
    <row r="14" spans="2:5" x14ac:dyDescent="0.25">
      <c r="B14" s="63" t="s">
        <v>144</v>
      </c>
      <c r="C14" s="64">
        <f>VLOOKUP(B14,'SCC P&amp;L(Previous Rec)'!A:N,3,0)</f>
        <v>46468.94</v>
      </c>
      <c r="D14" s="64">
        <f>VLOOKUP(B14,'SCC P&amp;L (Previous Rec)'!A:N,4,0)</f>
        <v>33783.32</v>
      </c>
      <c r="E14" s="64">
        <f t="shared" si="0"/>
        <v>12685.620000000003</v>
      </c>
    </row>
    <row r="15" spans="2:5" x14ac:dyDescent="0.25">
      <c r="B15" s="63" t="s">
        <v>303</v>
      </c>
      <c r="C15" s="64">
        <f>VLOOKUP(B15,'SCC P&amp;L(Previous Rec)'!A:N,3,0)</f>
        <v>59688.73</v>
      </c>
      <c r="D15" s="64">
        <f>VLOOKUP(B15,'SCC P&amp;L (Previous Rec)'!A:N,4,0)</f>
        <v>48603.72</v>
      </c>
      <c r="E15" s="64">
        <f t="shared" si="0"/>
        <v>11085.010000000002</v>
      </c>
    </row>
    <row r="16" spans="2:5" x14ac:dyDescent="0.25">
      <c r="B16" s="63" t="s">
        <v>304</v>
      </c>
      <c r="C16" s="64">
        <f>VLOOKUP(B16,'SCC P&amp;L(Previous Rec)'!A:N,3,0)</f>
        <v>79062.070000000007</v>
      </c>
      <c r="D16" s="64">
        <f>VLOOKUP(B16,'SCC P&amp;L (Previous Rec)'!A:N,4,0)</f>
        <v>99820.81</v>
      </c>
      <c r="E16" s="64">
        <f t="shared" si="0"/>
        <v>-20758.739999999991</v>
      </c>
    </row>
    <row r="17" spans="2:8" ht="15.75" thickBot="1" x14ac:dyDescent="0.3">
      <c r="B17" s="22" t="s">
        <v>147</v>
      </c>
      <c r="C17" s="74">
        <f>VLOOKUP(B17,'SCC P&amp;L(Previous Rec)'!A:N,3,0)</f>
        <v>8161.61</v>
      </c>
      <c r="D17" s="74">
        <f>VLOOKUP(B17,'SCC P&amp;L (Previous Rec)'!A:N,4,0)</f>
        <v>8458.49</v>
      </c>
      <c r="E17" s="74">
        <f t="shared" si="0"/>
        <v>-296.88000000000011</v>
      </c>
    </row>
    <row r="18" spans="2:8" ht="15.75" thickBot="1" x14ac:dyDescent="0.3">
      <c r="B18" s="76" t="s">
        <v>151</v>
      </c>
      <c r="C18" s="77">
        <f>VLOOKUP(B18,'SCC P&amp;L(Previous Rec)'!A:N,3,0)</f>
        <v>1256723.6000000001</v>
      </c>
      <c r="D18" s="77">
        <f>VLOOKUP(B18,'SCC P&amp;L (Previous Rec)'!A:N,4,0)</f>
        <v>1128206.99</v>
      </c>
      <c r="E18" s="78">
        <f t="shared" si="0"/>
        <v>128516.6100000001</v>
      </c>
    </row>
    <row r="19" spans="2:8" x14ac:dyDescent="0.25">
      <c r="B19" s="66" t="s">
        <v>317</v>
      </c>
      <c r="C19" s="67">
        <f>VLOOKUP(B19,'SCC P&amp;L(Previous Rec)'!A:N,3,0)</f>
        <v>24788.32</v>
      </c>
      <c r="D19" s="67">
        <f>VLOOKUP(B19,'SCC P&amp;L (Previous Rec)'!A:N,4,0)</f>
        <v>28366.15</v>
      </c>
      <c r="E19" s="67">
        <f t="shared" si="0"/>
        <v>-3577.8300000000017</v>
      </c>
    </row>
    <row r="20" spans="2:8" x14ac:dyDescent="0.25">
      <c r="B20" s="63" t="s">
        <v>337</v>
      </c>
      <c r="C20" s="64">
        <f>VLOOKUP(B20,'SCC P&amp;L(Previous Rec)'!A:N,3,0)</f>
        <v>8464.4500000000007</v>
      </c>
      <c r="D20" s="64">
        <f>VLOOKUP(B20,'SCC P&amp;L (Previous Rec)'!A:N,4,0)</f>
        <v>10548.87</v>
      </c>
      <c r="E20" s="64">
        <f t="shared" si="0"/>
        <v>-2084.42</v>
      </c>
    </row>
    <row r="21" spans="2:8" ht="15.75" thickBot="1" x14ac:dyDescent="0.3">
      <c r="B21" s="22" t="s">
        <v>169</v>
      </c>
      <c r="C21" s="74">
        <f>VLOOKUP(B21,'SCC P&amp;L(Previous Rec)'!A:N,3,0)</f>
        <v>0</v>
      </c>
      <c r="D21" s="74">
        <f>VLOOKUP(B21,'SCC P&amp;L (Previous Rec)'!A:N,4,0)</f>
        <v>0</v>
      </c>
      <c r="E21" s="74">
        <f t="shared" si="0"/>
        <v>0</v>
      </c>
    </row>
    <row r="22" spans="2:8" ht="15.75" thickBot="1" x14ac:dyDescent="0.3">
      <c r="B22" s="76" t="s">
        <v>338</v>
      </c>
      <c r="C22" s="77">
        <f>VLOOKUP(B22,'SCC P&amp;L(Previous Rec)'!A:N,3,0)</f>
        <v>2223804.5300000012</v>
      </c>
      <c r="D22" s="77">
        <f>VLOOKUP(B22,'SCC P&amp;L (Previous Rec)'!A:N,4,0)</f>
        <v>1927641.8</v>
      </c>
      <c r="E22" s="78">
        <f t="shared" si="0"/>
        <v>296162.73000000115</v>
      </c>
    </row>
    <row r="23" spans="2:8" ht="15.75" thickBot="1" x14ac:dyDescent="0.3">
      <c r="B23" s="79" t="s">
        <v>339</v>
      </c>
      <c r="C23" s="80">
        <f>VLOOKUP(B23,'SCC P&amp;L(Previous Rec)'!A:N,3,0)</f>
        <v>678739.18</v>
      </c>
      <c r="D23" s="80">
        <f>VLOOKUP(B23,'SCC P&amp;L (Previous Rec)'!A:N,4,0)</f>
        <v>601256.55000000005</v>
      </c>
      <c r="E23" s="80">
        <f t="shared" si="0"/>
        <v>77482.63</v>
      </c>
      <c r="G23" s="62"/>
    </row>
    <row r="24" spans="2:8" ht="15.75" thickBot="1" x14ac:dyDescent="0.3">
      <c r="B24" s="81" t="s">
        <v>343</v>
      </c>
      <c r="C24" s="82">
        <f>VLOOKUP(B24,'SCC P&amp;L(Previous Rec)'!A:N,3,0)</f>
        <v>22257090.409999996</v>
      </c>
      <c r="D24" s="82">
        <f>VLOOKUP(B24,'SCC P&amp;L (Previous Rec)'!A:N,4,0)</f>
        <v>20811004.309999999</v>
      </c>
      <c r="E24" s="83">
        <f>C24-D24</f>
        <v>1446086.0999999978</v>
      </c>
      <c r="H24" s="62"/>
    </row>
    <row r="25" spans="2:8" ht="15.75" thickBot="1" x14ac:dyDescent="0.3">
      <c r="B25" s="114" t="s">
        <v>358</v>
      </c>
      <c r="C25" s="4"/>
      <c r="D25" s="4"/>
      <c r="E25" s="4">
        <v>1495.9099999964237</v>
      </c>
    </row>
    <row r="26" spans="2:8" ht="15.75" thickBot="1" x14ac:dyDescent="0.3">
      <c r="E26" s="83">
        <f>E24+E25</f>
        <v>1447582.0099999942</v>
      </c>
    </row>
  </sheetData>
  <pageMargins left="0.7" right="0.7" top="0.75" bottom="0.75" header="0.3" footer="0.3"/>
  <pageSetup orientation="portrait" r:id="rId1"/>
  <customProperties>
    <customPr name="EpmWorksheetKeyString_GUID" r:id="rId2"/>
  </customProperties>
  <drawing r:id="rId3"/>
  <legacyDrawing r:id="rId4"/>
  <controls>
    <mc:AlternateContent xmlns:mc="http://schemas.openxmlformats.org/markup-compatibility/2006">
      <mc:Choice Requires="x14">
        <control shapeId="4097" r:id="rId5" name="FPMExcelClientSheetOptionstb1">
          <controlPr defaultSize="0" autoLine="0" autoPict="0" r:id="rId6">
            <anchor moveWithCells="1" sizeWithCells="1">
              <from>
                <xdr:col>0</xdr:col>
                <xdr:colOff>0</xdr:colOff>
                <xdr:row>0</xdr:row>
                <xdr:rowOff>0</xdr:rowOff>
              </from>
              <to>
                <xdr:col>1</xdr:col>
                <xdr:colOff>304800</xdr:colOff>
                <xdr:row>0</xdr:row>
                <xdr:rowOff>0</xdr:rowOff>
              </to>
            </anchor>
          </controlPr>
        </control>
      </mc:Choice>
      <mc:Fallback>
        <control shapeId="4097" r:id="rId5" name="FPMExcelClientSheetOptionstb1"/>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Q49"/>
  <sheetViews>
    <sheetView workbookViewId="0"/>
  </sheetViews>
  <sheetFormatPr defaultRowHeight="15" outlineLevelRow="1" outlineLevelCol="1" x14ac:dyDescent="0.25"/>
  <cols>
    <col min="1" max="1" width="14.28515625" style="116" bestFit="1" customWidth="1"/>
    <col min="2" max="2" width="53.140625" style="116" bestFit="1" customWidth="1"/>
    <col min="3" max="5" width="22.7109375" style="116" customWidth="1"/>
    <col min="6" max="6" width="1" style="117" customWidth="1"/>
    <col min="7" max="7" width="17.7109375" style="116" customWidth="1"/>
    <col min="8" max="8" width="17.7109375" style="116" hidden="1" customWidth="1" outlineLevel="1"/>
    <col min="9" max="9" width="20.5703125" style="116" hidden="1" customWidth="1" outlineLevel="1"/>
    <col min="10" max="10" width="17.7109375" style="116" hidden="1" customWidth="1" outlineLevel="1"/>
    <col min="11" max="11" width="21.28515625" style="116" hidden="1" customWidth="1" outlineLevel="1"/>
    <col min="12" max="12" width="20.7109375" style="119" customWidth="1" collapsed="1"/>
    <col min="13" max="13" width="9.140625" style="116"/>
    <col min="14" max="14" width="11.5703125" style="116" bestFit="1" customWidth="1"/>
    <col min="15" max="15" width="13.42578125" style="116" bestFit="1" customWidth="1"/>
    <col min="16" max="17" width="17.42578125" style="116" bestFit="1" customWidth="1"/>
    <col min="18" max="256" width="9.140625" style="116"/>
    <col min="257" max="257" width="14.28515625" style="116" bestFit="1" customWidth="1"/>
    <col min="258" max="258" width="53.140625" style="116" bestFit="1" customWidth="1"/>
    <col min="259" max="261" width="22.7109375" style="116" customWidth="1"/>
    <col min="262" max="262" width="1" style="116" customWidth="1"/>
    <col min="263" max="263" width="17.7109375" style="116" customWidth="1"/>
    <col min="264" max="267" width="0" style="116" hidden="1" customWidth="1"/>
    <col min="268" max="268" width="20.7109375" style="116" customWidth="1"/>
    <col min="269" max="269" width="9.140625" style="116"/>
    <col min="270" max="270" width="11.5703125" style="116" bestFit="1" customWidth="1"/>
    <col min="271" max="271" width="13.42578125" style="116" bestFit="1" customWidth="1"/>
    <col min="272" max="273" width="17.42578125" style="116" bestFit="1" customWidth="1"/>
    <col min="274" max="512" width="9.140625" style="116"/>
    <col min="513" max="513" width="14.28515625" style="116" bestFit="1" customWidth="1"/>
    <col min="514" max="514" width="53.140625" style="116" bestFit="1" customWidth="1"/>
    <col min="515" max="517" width="22.7109375" style="116" customWidth="1"/>
    <col min="518" max="518" width="1" style="116" customWidth="1"/>
    <col min="519" max="519" width="17.7109375" style="116" customWidth="1"/>
    <col min="520" max="523" width="0" style="116" hidden="1" customWidth="1"/>
    <col min="524" max="524" width="20.7109375" style="116" customWidth="1"/>
    <col min="525" max="525" width="9.140625" style="116"/>
    <col min="526" max="526" width="11.5703125" style="116" bestFit="1" customWidth="1"/>
    <col min="527" max="527" width="13.42578125" style="116" bestFit="1" customWidth="1"/>
    <col min="528" max="529" width="17.42578125" style="116" bestFit="1" customWidth="1"/>
    <col min="530" max="768" width="9.140625" style="116"/>
    <col min="769" max="769" width="14.28515625" style="116" bestFit="1" customWidth="1"/>
    <col min="770" max="770" width="53.140625" style="116" bestFit="1" customWidth="1"/>
    <col min="771" max="773" width="22.7109375" style="116" customWidth="1"/>
    <col min="774" max="774" width="1" style="116" customWidth="1"/>
    <col min="775" max="775" width="17.7109375" style="116" customWidth="1"/>
    <col min="776" max="779" width="0" style="116" hidden="1" customWidth="1"/>
    <col min="780" max="780" width="20.7109375" style="116" customWidth="1"/>
    <col min="781" max="781" width="9.140625" style="116"/>
    <col min="782" max="782" width="11.5703125" style="116" bestFit="1" customWidth="1"/>
    <col min="783" max="783" width="13.42578125" style="116" bestFit="1" customWidth="1"/>
    <col min="784" max="785" width="17.42578125" style="116" bestFit="1" customWidth="1"/>
    <col min="786" max="1024" width="9.140625" style="116"/>
    <col min="1025" max="1025" width="14.28515625" style="116" bestFit="1" customWidth="1"/>
    <col min="1026" max="1026" width="53.140625" style="116" bestFit="1" customWidth="1"/>
    <col min="1027" max="1029" width="22.7109375" style="116" customWidth="1"/>
    <col min="1030" max="1030" width="1" style="116" customWidth="1"/>
    <col min="1031" max="1031" width="17.7109375" style="116" customWidth="1"/>
    <col min="1032" max="1035" width="0" style="116" hidden="1" customWidth="1"/>
    <col min="1036" max="1036" width="20.7109375" style="116" customWidth="1"/>
    <col min="1037" max="1037" width="9.140625" style="116"/>
    <col min="1038" max="1038" width="11.5703125" style="116" bestFit="1" customWidth="1"/>
    <col min="1039" max="1039" width="13.42578125" style="116" bestFit="1" customWidth="1"/>
    <col min="1040" max="1041" width="17.42578125" style="116" bestFit="1" customWidth="1"/>
    <col min="1042" max="1280" width="9.140625" style="116"/>
    <col min="1281" max="1281" width="14.28515625" style="116" bestFit="1" customWidth="1"/>
    <col min="1282" max="1282" width="53.140625" style="116" bestFit="1" customWidth="1"/>
    <col min="1283" max="1285" width="22.7109375" style="116" customWidth="1"/>
    <col min="1286" max="1286" width="1" style="116" customWidth="1"/>
    <col min="1287" max="1287" width="17.7109375" style="116" customWidth="1"/>
    <col min="1288" max="1291" width="0" style="116" hidden="1" customWidth="1"/>
    <col min="1292" max="1292" width="20.7109375" style="116" customWidth="1"/>
    <col min="1293" max="1293" width="9.140625" style="116"/>
    <col min="1294" max="1294" width="11.5703125" style="116" bestFit="1" customWidth="1"/>
    <col min="1295" max="1295" width="13.42578125" style="116" bestFit="1" customWidth="1"/>
    <col min="1296" max="1297" width="17.42578125" style="116" bestFit="1" customWidth="1"/>
    <col min="1298" max="1536" width="9.140625" style="116"/>
    <col min="1537" max="1537" width="14.28515625" style="116" bestFit="1" customWidth="1"/>
    <col min="1538" max="1538" width="53.140625" style="116" bestFit="1" customWidth="1"/>
    <col min="1539" max="1541" width="22.7109375" style="116" customWidth="1"/>
    <col min="1542" max="1542" width="1" style="116" customWidth="1"/>
    <col min="1543" max="1543" width="17.7109375" style="116" customWidth="1"/>
    <col min="1544" max="1547" width="0" style="116" hidden="1" customWidth="1"/>
    <col min="1548" max="1548" width="20.7109375" style="116" customWidth="1"/>
    <col min="1549" max="1549" width="9.140625" style="116"/>
    <col min="1550" max="1550" width="11.5703125" style="116" bestFit="1" customWidth="1"/>
    <col min="1551" max="1551" width="13.42578125" style="116" bestFit="1" customWidth="1"/>
    <col min="1552" max="1553" width="17.42578125" style="116" bestFit="1" customWidth="1"/>
    <col min="1554" max="1792" width="9.140625" style="116"/>
    <col min="1793" max="1793" width="14.28515625" style="116" bestFit="1" customWidth="1"/>
    <col min="1794" max="1794" width="53.140625" style="116" bestFit="1" customWidth="1"/>
    <col min="1795" max="1797" width="22.7109375" style="116" customWidth="1"/>
    <col min="1798" max="1798" width="1" style="116" customWidth="1"/>
    <col min="1799" max="1799" width="17.7109375" style="116" customWidth="1"/>
    <col min="1800" max="1803" width="0" style="116" hidden="1" customWidth="1"/>
    <col min="1804" max="1804" width="20.7109375" style="116" customWidth="1"/>
    <col min="1805" max="1805" width="9.140625" style="116"/>
    <col min="1806" max="1806" width="11.5703125" style="116" bestFit="1" customWidth="1"/>
    <col min="1807" max="1807" width="13.42578125" style="116" bestFit="1" customWidth="1"/>
    <col min="1808" max="1809" width="17.42578125" style="116" bestFit="1" customWidth="1"/>
    <col min="1810" max="2048" width="9.140625" style="116"/>
    <col min="2049" max="2049" width="14.28515625" style="116" bestFit="1" customWidth="1"/>
    <col min="2050" max="2050" width="53.140625" style="116" bestFit="1" customWidth="1"/>
    <col min="2051" max="2053" width="22.7109375" style="116" customWidth="1"/>
    <col min="2054" max="2054" width="1" style="116" customWidth="1"/>
    <col min="2055" max="2055" width="17.7109375" style="116" customWidth="1"/>
    <col min="2056" max="2059" width="0" style="116" hidden="1" customWidth="1"/>
    <col min="2060" max="2060" width="20.7109375" style="116" customWidth="1"/>
    <col min="2061" max="2061" width="9.140625" style="116"/>
    <col min="2062" max="2062" width="11.5703125" style="116" bestFit="1" customWidth="1"/>
    <col min="2063" max="2063" width="13.42578125" style="116" bestFit="1" customWidth="1"/>
    <col min="2064" max="2065" width="17.42578125" style="116" bestFit="1" customWidth="1"/>
    <col min="2066" max="2304" width="9.140625" style="116"/>
    <col min="2305" max="2305" width="14.28515625" style="116" bestFit="1" customWidth="1"/>
    <col min="2306" max="2306" width="53.140625" style="116" bestFit="1" customWidth="1"/>
    <col min="2307" max="2309" width="22.7109375" style="116" customWidth="1"/>
    <col min="2310" max="2310" width="1" style="116" customWidth="1"/>
    <col min="2311" max="2311" width="17.7109375" style="116" customWidth="1"/>
    <col min="2312" max="2315" width="0" style="116" hidden="1" customWidth="1"/>
    <col min="2316" max="2316" width="20.7109375" style="116" customWidth="1"/>
    <col min="2317" max="2317" width="9.140625" style="116"/>
    <col min="2318" max="2318" width="11.5703125" style="116" bestFit="1" customWidth="1"/>
    <col min="2319" max="2319" width="13.42578125" style="116" bestFit="1" customWidth="1"/>
    <col min="2320" max="2321" width="17.42578125" style="116" bestFit="1" customWidth="1"/>
    <col min="2322" max="2560" width="9.140625" style="116"/>
    <col min="2561" max="2561" width="14.28515625" style="116" bestFit="1" customWidth="1"/>
    <col min="2562" max="2562" width="53.140625" style="116" bestFit="1" customWidth="1"/>
    <col min="2563" max="2565" width="22.7109375" style="116" customWidth="1"/>
    <col min="2566" max="2566" width="1" style="116" customWidth="1"/>
    <col min="2567" max="2567" width="17.7109375" style="116" customWidth="1"/>
    <col min="2568" max="2571" width="0" style="116" hidden="1" customWidth="1"/>
    <col min="2572" max="2572" width="20.7109375" style="116" customWidth="1"/>
    <col min="2573" max="2573" width="9.140625" style="116"/>
    <col min="2574" max="2574" width="11.5703125" style="116" bestFit="1" customWidth="1"/>
    <col min="2575" max="2575" width="13.42578125" style="116" bestFit="1" customWidth="1"/>
    <col min="2576" max="2577" width="17.42578125" style="116" bestFit="1" customWidth="1"/>
    <col min="2578" max="2816" width="9.140625" style="116"/>
    <col min="2817" max="2817" width="14.28515625" style="116" bestFit="1" customWidth="1"/>
    <col min="2818" max="2818" width="53.140625" style="116" bestFit="1" customWidth="1"/>
    <col min="2819" max="2821" width="22.7109375" style="116" customWidth="1"/>
    <col min="2822" max="2822" width="1" style="116" customWidth="1"/>
    <col min="2823" max="2823" width="17.7109375" style="116" customWidth="1"/>
    <col min="2824" max="2827" width="0" style="116" hidden="1" customWidth="1"/>
    <col min="2828" max="2828" width="20.7109375" style="116" customWidth="1"/>
    <col min="2829" max="2829" width="9.140625" style="116"/>
    <col min="2830" max="2830" width="11.5703125" style="116" bestFit="1" customWidth="1"/>
    <col min="2831" max="2831" width="13.42578125" style="116" bestFit="1" customWidth="1"/>
    <col min="2832" max="2833" width="17.42578125" style="116" bestFit="1" customWidth="1"/>
    <col min="2834" max="3072" width="9.140625" style="116"/>
    <col min="3073" max="3073" width="14.28515625" style="116" bestFit="1" customWidth="1"/>
    <col min="3074" max="3074" width="53.140625" style="116" bestFit="1" customWidth="1"/>
    <col min="3075" max="3077" width="22.7109375" style="116" customWidth="1"/>
    <col min="3078" max="3078" width="1" style="116" customWidth="1"/>
    <col min="3079" max="3079" width="17.7109375" style="116" customWidth="1"/>
    <col min="3080" max="3083" width="0" style="116" hidden="1" customWidth="1"/>
    <col min="3084" max="3084" width="20.7109375" style="116" customWidth="1"/>
    <col min="3085" max="3085" width="9.140625" style="116"/>
    <col min="3086" max="3086" width="11.5703125" style="116" bestFit="1" customWidth="1"/>
    <col min="3087" max="3087" width="13.42578125" style="116" bestFit="1" customWidth="1"/>
    <col min="3088" max="3089" width="17.42578125" style="116" bestFit="1" customWidth="1"/>
    <col min="3090" max="3328" width="9.140625" style="116"/>
    <col min="3329" max="3329" width="14.28515625" style="116" bestFit="1" customWidth="1"/>
    <col min="3330" max="3330" width="53.140625" style="116" bestFit="1" customWidth="1"/>
    <col min="3331" max="3333" width="22.7109375" style="116" customWidth="1"/>
    <col min="3334" max="3334" width="1" style="116" customWidth="1"/>
    <col min="3335" max="3335" width="17.7109375" style="116" customWidth="1"/>
    <col min="3336" max="3339" width="0" style="116" hidden="1" customWidth="1"/>
    <col min="3340" max="3340" width="20.7109375" style="116" customWidth="1"/>
    <col min="3341" max="3341" width="9.140625" style="116"/>
    <col min="3342" max="3342" width="11.5703125" style="116" bestFit="1" customWidth="1"/>
    <col min="3343" max="3343" width="13.42578125" style="116" bestFit="1" customWidth="1"/>
    <col min="3344" max="3345" width="17.42578125" style="116" bestFit="1" customWidth="1"/>
    <col min="3346" max="3584" width="9.140625" style="116"/>
    <col min="3585" max="3585" width="14.28515625" style="116" bestFit="1" customWidth="1"/>
    <col min="3586" max="3586" width="53.140625" style="116" bestFit="1" customWidth="1"/>
    <col min="3587" max="3589" width="22.7109375" style="116" customWidth="1"/>
    <col min="3590" max="3590" width="1" style="116" customWidth="1"/>
    <col min="3591" max="3591" width="17.7109375" style="116" customWidth="1"/>
    <col min="3592" max="3595" width="0" style="116" hidden="1" customWidth="1"/>
    <col min="3596" max="3596" width="20.7109375" style="116" customWidth="1"/>
    <col min="3597" max="3597" width="9.140625" style="116"/>
    <col min="3598" max="3598" width="11.5703125" style="116" bestFit="1" customWidth="1"/>
    <col min="3599" max="3599" width="13.42578125" style="116" bestFit="1" customWidth="1"/>
    <col min="3600" max="3601" width="17.42578125" style="116" bestFit="1" customWidth="1"/>
    <col min="3602" max="3840" width="9.140625" style="116"/>
    <col min="3841" max="3841" width="14.28515625" style="116" bestFit="1" customWidth="1"/>
    <col min="3842" max="3842" width="53.140625" style="116" bestFit="1" customWidth="1"/>
    <col min="3843" max="3845" width="22.7109375" style="116" customWidth="1"/>
    <col min="3846" max="3846" width="1" style="116" customWidth="1"/>
    <col min="3847" max="3847" width="17.7109375" style="116" customWidth="1"/>
    <col min="3848" max="3851" width="0" style="116" hidden="1" customWidth="1"/>
    <col min="3852" max="3852" width="20.7109375" style="116" customWidth="1"/>
    <col min="3853" max="3853" width="9.140625" style="116"/>
    <col min="3854" max="3854" width="11.5703125" style="116" bestFit="1" customWidth="1"/>
    <col min="3855" max="3855" width="13.42578125" style="116" bestFit="1" customWidth="1"/>
    <col min="3856" max="3857" width="17.42578125" style="116" bestFit="1" customWidth="1"/>
    <col min="3858" max="4096" width="9.140625" style="116"/>
    <col min="4097" max="4097" width="14.28515625" style="116" bestFit="1" customWidth="1"/>
    <col min="4098" max="4098" width="53.140625" style="116" bestFit="1" customWidth="1"/>
    <col min="4099" max="4101" width="22.7109375" style="116" customWidth="1"/>
    <col min="4102" max="4102" width="1" style="116" customWidth="1"/>
    <col min="4103" max="4103" width="17.7109375" style="116" customWidth="1"/>
    <col min="4104" max="4107" width="0" style="116" hidden="1" customWidth="1"/>
    <col min="4108" max="4108" width="20.7109375" style="116" customWidth="1"/>
    <col min="4109" max="4109" width="9.140625" style="116"/>
    <col min="4110" max="4110" width="11.5703125" style="116" bestFit="1" customWidth="1"/>
    <col min="4111" max="4111" width="13.42578125" style="116" bestFit="1" customWidth="1"/>
    <col min="4112" max="4113" width="17.42578125" style="116" bestFit="1" customWidth="1"/>
    <col min="4114" max="4352" width="9.140625" style="116"/>
    <col min="4353" max="4353" width="14.28515625" style="116" bestFit="1" customWidth="1"/>
    <col min="4354" max="4354" width="53.140625" style="116" bestFit="1" customWidth="1"/>
    <col min="4355" max="4357" width="22.7109375" style="116" customWidth="1"/>
    <col min="4358" max="4358" width="1" style="116" customWidth="1"/>
    <col min="4359" max="4359" width="17.7109375" style="116" customWidth="1"/>
    <col min="4360" max="4363" width="0" style="116" hidden="1" customWidth="1"/>
    <col min="4364" max="4364" width="20.7109375" style="116" customWidth="1"/>
    <col min="4365" max="4365" width="9.140625" style="116"/>
    <col min="4366" max="4366" width="11.5703125" style="116" bestFit="1" customWidth="1"/>
    <col min="4367" max="4367" width="13.42578125" style="116" bestFit="1" customWidth="1"/>
    <col min="4368" max="4369" width="17.42578125" style="116" bestFit="1" customWidth="1"/>
    <col min="4370" max="4608" width="9.140625" style="116"/>
    <col min="4609" max="4609" width="14.28515625" style="116" bestFit="1" customWidth="1"/>
    <col min="4610" max="4610" width="53.140625" style="116" bestFit="1" customWidth="1"/>
    <col min="4611" max="4613" width="22.7109375" style="116" customWidth="1"/>
    <col min="4614" max="4614" width="1" style="116" customWidth="1"/>
    <col min="4615" max="4615" width="17.7109375" style="116" customWidth="1"/>
    <col min="4616" max="4619" width="0" style="116" hidden="1" customWidth="1"/>
    <col min="4620" max="4620" width="20.7109375" style="116" customWidth="1"/>
    <col min="4621" max="4621" width="9.140625" style="116"/>
    <col min="4622" max="4622" width="11.5703125" style="116" bestFit="1" customWidth="1"/>
    <col min="4623" max="4623" width="13.42578125" style="116" bestFit="1" customWidth="1"/>
    <col min="4624" max="4625" width="17.42578125" style="116" bestFit="1" customWidth="1"/>
    <col min="4626" max="4864" width="9.140625" style="116"/>
    <col min="4865" max="4865" width="14.28515625" style="116" bestFit="1" customWidth="1"/>
    <col min="4866" max="4866" width="53.140625" style="116" bestFit="1" customWidth="1"/>
    <col min="4867" max="4869" width="22.7109375" style="116" customWidth="1"/>
    <col min="4870" max="4870" width="1" style="116" customWidth="1"/>
    <col min="4871" max="4871" width="17.7109375" style="116" customWidth="1"/>
    <col min="4872" max="4875" width="0" style="116" hidden="1" customWidth="1"/>
    <col min="4876" max="4876" width="20.7109375" style="116" customWidth="1"/>
    <col min="4877" max="4877" width="9.140625" style="116"/>
    <col min="4878" max="4878" width="11.5703125" style="116" bestFit="1" customWidth="1"/>
    <col min="4879" max="4879" width="13.42578125" style="116" bestFit="1" customWidth="1"/>
    <col min="4880" max="4881" width="17.42578125" style="116" bestFit="1" customWidth="1"/>
    <col min="4882" max="5120" width="9.140625" style="116"/>
    <col min="5121" max="5121" width="14.28515625" style="116" bestFit="1" customWidth="1"/>
    <col min="5122" max="5122" width="53.140625" style="116" bestFit="1" customWidth="1"/>
    <col min="5123" max="5125" width="22.7109375" style="116" customWidth="1"/>
    <col min="5126" max="5126" width="1" style="116" customWidth="1"/>
    <col min="5127" max="5127" width="17.7109375" style="116" customWidth="1"/>
    <col min="5128" max="5131" width="0" style="116" hidden="1" customWidth="1"/>
    <col min="5132" max="5132" width="20.7109375" style="116" customWidth="1"/>
    <col min="5133" max="5133" width="9.140625" style="116"/>
    <col min="5134" max="5134" width="11.5703125" style="116" bestFit="1" customWidth="1"/>
    <col min="5135" max="5135" width="13.42578125" style="116" bestFit="1" customWidth="1"/>
    <col min="5136" max="5137" width="17.42578125" style="116" bestFit="1" customWidth="1"/>
    <col min="5138" max="5376" width="9.140625" style="116"/>
    <col min="5377" max="5377" width="14.28515625" style="116" bestFit="1" customWidth="1"/>
    <col min="5378" max="5378" width="53.140625" style="116" bestFit="1" customWidth="1"/>
    <col min="5379" max="5381" width="22.7109375" style="116" customWidth="1"/>
    <col min="5382" max="5382" width="1" style="116" customWidth="1"/>
    <col min="5383" max="5383" width="17.7109375" style="116" customWidth="1"/>
    <col min="5384" max="5387" width="0" style="116" hidden="1" customWidth="1"/>
    <col min="5388" max="5388" width="20.7109375" style="116" customWidth="1"/>
    <col min="5389" max="5389" width="9.140625" style="116"/>
    <col min="5390" max="5390" width="11.5703125" style="116" bestFit="1" customWidth="1"/>
    <col min="5391" max="5391" width="13.42578125" style="116" bestFit="1" customWidth="1"/>
    <col min="5392" max="5393" width="17.42578125" style="116" bestFit="1" customWidth="1"/>
    <col min="5394" max="5632" width="9.140625" style="116"/>
    <col min="5633" max="5633" width="14.28515625" style="116" bestFit="1" customWidth="1"/>
    <col min="5634" max="5634" width="53.140625" style="116" bestFit="1" customWidth="1"/>
    <col min="5635" max="5637" width="22.7109375" style="116" customWidth="1"/>
    <col min="5638" max="5638" width="1" style="116" customWidth="1"/>
    <col min="5639" max="5639" width="17.7109375" style="116" customWidth="1"/>
    <col min="5640" max="5643" width="0" style="116" hidden="1" customWidth="1"/>
    <col min="5644" max="5644" width="20.7109375" style="116" customWidth="1"/>
    <col min="5645" max="5645" width="9.140625" style="116"/>
    <col min="5646" max="5646" width="11.5703125" style="116" bestFit="1" customWidth="1"/>
    <col min="5647" max="5647" width="13.42578125" style="116" bestFit="1" customWidth="1"/>
    <col min="5648" max="5649" width="17.42578125" style="116" bestFit="1" customWidth="1"/>
    <col min="5650" max="5888" width="9.140625" style="116"/>
    <col min="5889" max="5889" width="14.28515625" style="116" bestFit="1" customWidth="1"/>
    <col min="5890" max="5890" width="53.140625" style="116" bestFit="1" customWidth="1"/>
    <col min="5891" max="5893" width="22.7109375" style="116" customWidth="1"/>
    <col min="5894" max="5894" width="1" style="116" customWidth="1"/>
    <col min="5895" max="5895" width="17.7109375" style="116" customWidth="1"/>
    <col min="5896" max="5899" width="0" style="116" hidden="1" customWidth="1"/>
    <col min="5900" max="5900" width="20.7109375" style="116" customWidth="1"/>
    <col min="5901" max="5901" width="9.140625" style="116"/>
    <col min="5902" max="5902" width="11.5703125" style="116" bestFit="1" customWidth="1"/>
    <col min="5903" max="5903" width="13.42578125" style="116" bestFit="1" customWidth="1"/>
    <col min="5904" max="5905" width="17.42578125" style="116" bestFit="1" customWidth="1"/>
    <col min="5906" max="6144" width="9.140625" style="116"/>
    <col min="6145" max="6145" width="14.28515625" style="116" bestFit="1" customWidth="1"/>
    <col min="6146" max="6146" width="53.140625" style="116" bestFit="1" customWidth="1"/>
    <col min="6147" max="6149" width="22.7109375" style="116" customWidth="1"/>
    <col min="6150" max="6150" width="1" style="116" customWidth="1"/>
    <col min="6151" max="6151" width="17.7109375" style="116" customWidth="1"/>
    <col min="6152" max="6155" width="0" style="116" hidden="1" customWidth="1"/>
    <col min="6156" max="6156" width="20.7109375" style="116" customWidth="1"/>
    <col min="6157" max="6157" width="9.140625" style="116"/>
    <col min="6158" max="6158" width="11.5703125" style="116" bestFit="1" customWidth="1"/>
    <col min="6159" max="6159" width="13.42578125" style="116" bestFit="1" customWidth="1"/>
    <col min="6160" max="6161" width="17.42578125" style="116" bestFit="1" customWidth="1"/>
    <col min="6162" max="6400" width="9.140625" style="116"/>
    <col min="6401" max="6401" width="14.28515625" style="116" bestFit="1" customWidth="1"/>
    <col min="6402" max="6402" width="53.140625" style="116" bestFit="1" customWidth="1"/>
    <col min="6403" max="6405" width="22.7109375" style="116" customWidth="1"/>
    <col min="6406" max="6406" width="1" style="116" customWidth="1"/>
    <col min="6407" max="6407" width="17.7109375" style="116" customWidth="1"/>
    <col min="6408" max="6411" width="0" style="116" hidden="1" customWidth="1"/>
    <col min="6412" max="6412" width="20.7109375" style="116" customWidth="1"/>
    <col min="6413" max="6413" width="9.140625" style="116"/>
    <col min="6414" max="6414" width="11.5703125" style="116" bestFit="1" customWidth="1"/>
    <col min="6415" max="6415" width="13.42578125" style="116" bestFit="1" customWidth="1"/>
    <col min="6416" max="6417" width="17.42578125" style="116" bestFit="1" customWidth="1"/>
    <col min="6418" max="6656" width="9.140625" style="116"/>
    <col min="6657" max="6657" width="14.28515625" style="116" bestFit="1" customWidth="1"/>
    <col min="6658" max="6658" width="53.140625" style="116" bestFit="1" customWidth="1"/>
    <col min="6659" max="6661" width="22.7109375" style="116" customWidth="1"/>
    <col min="6662" max="6662" width="1" style="116" customWidth="1"/>
    <col min="6663" max="6663" width="17.7109375" style="116" customWidth="1"/>
    <col min="6664" max="6667" width="0" style="116" hidden="1" customWidth="1"/>
    <col min="6668" max="6668" width="20.7109375" style="116" customWidth="1"/>
    <col min="6669" max="6669" width="9.140625" style="116"/>
    <col min="6670" max="6670" width="11.5703125" style="116" bestFit="1" customWidth="1"/>
    <col min="6671" max="6671" width="13.42578125" style="116" bestFit="1" customWidth="1"/>
    <col min="6672" max="6673" width="17.42578125" style="116" bestFit="1" customWidth="1"/>
    <col min="6674" max="6912" width="9.140625" style="116"/>
    <col min="6913" max="6913" width="14.28515625" style="116" bestFit="1" customWidth="1"/>
    <col min="6914" max="6914" width="53.140625" style="116" bestFit="1" customWidth="1"/>
    <col min="6915" max="6917" width="22.7109375" style="116" customWidth="1"/>
    <col min="6918" max="6918" width="1" style="116" customWidth="1"/>
    <col min="6919" max="6919" width="17.7109375" style="116" customWidth="1"/>
    <col min="6920" max="6923" width="0" style="116" hidden="1" customWidth="1"/>
    <col min="6924" max="6924" width="20.7109375" style="116" customWidth="1"/>
    <col min="6925" max="6925" width="9.140625" style="116"/>
    <col min="6926" max="6926" width="11.5703125" style="116" bestFit="1" customWidth="1"/>
    <col min="6927" max="6927" width="13.42578125" style="116" bestFit="1" customWidth="1"/>
    <col min="6928" max="6929" width="17.42578125" style="116" bestFit="1" customWidth="1"/>
    <col min="6930" max="7168" width="9.140625" style="116"/>
    <col min="7169" max="7169" width="14.28515625" style="116" bestFit="1" customWidth="1"/>
    <col min="7170" max="7170" width="53.140625" style="116" bestFit="1" customWidth="1"/>
    <col min="7171" max="7173" width="22.7109375" style="116" customWidth="1"/>
    <col min="7174" max="7174" width="1" style="116" customWidth="1"/>
    <col min="7175" max="7175" width="17.7109375" style="116" customWidth="1"/>
    <col min="7176" max="7179" width="0" style="116" hidden="1" customWidth="1"/>
    <col min="7180" max="7180" width="20.7109375" style="116" customWidth="1"/>
    <col min="7181" max="7181" width="9.140625" style="116"/>
    <col min="7182" max="7182" width="11.5703125" style="116" bestFit="1" customWidth="1"/>
    <col min="7183" max="7183" width="13.42578125" style="116" bestFit="1" customWidth="1"/>
    <col min="7184" max="7185" width="17.42578125" style="116" bestFit="1" customWidth="1"/>
    <col min="7186" max="7424" width="9.140625" style="116"/>
    <col min="7425" max="7425" width="14.28515625" style="116" bestFit="1" customWidth="1"/>
    <col min="7426" max="7426" width="53.140625" style="116" bestFit="1" customWidth="1"/>
    <col min="7427" max="7429" width="22.7109375" style="116" customWidth="1"/>
    <col min="7430" max="7430" width="1" style="116" customWidth="1"/>
    <col min="7431" max="7431" width="17.7109375" style="116" customWidth="1"/>
    <col min="7432" max="7435" width="0" style="116" hidden="1" customWidth="1"/>
    <col min="7436" max="7436" width="20.7109375" style="116" customWidth="1"/>
    <col min="7437" max="7437" width="9.140625" style="116"/>
    <col min="7438" max="7438" width="11.5703125" style="116" bestFit="1" customWidth="1"/>
    <col min="7439" max="7439" width="13.42578125" style="116" bestFit="1" customWidth="1"/>
    <col min="7440" max="7441" width="17.42578125" style="116" bestFit="1" customWidth="1"/>
    <col min="7442" max="7680" width="9.140625" style="116"/>
    <col min="7681" max="7681" width="14.28515625" style="116" bestFit="1" customWidth="1"/>
    <col min="7682" max="7682" width="53.140625" style="116" bestFit="1" customWidth="1"/>
    <col min="7683" max="7685" width="22.7109375" style="116" customWidth="1"/>
    <col min="7686" max="7686" width="1" style="116" customWidth="1"/>
    <col min="7687" max="7687" width="17.7109375" style="116" customWidth="1"/>
    <col min="7688" max="7691" width="0" style="116" hidden="1" customWidth="1"/>
    <col min="7692" max="7692" width="20.7109375" style="116" customWidth="1"/>
    <col min="7693" max="7693" width="9.140625" style="116"/>
    <col min="7694" max="7694" width="11.5703125" style="116" bestFit="1" customWidth="1"/>
    <col min="7695" max="7695" width="13.42578125" style="116" bestFit="1" customWidth="1"/>
    <col min="7696" max="7697" width="17.42578125" style="116" bestFit="1" customWidth="1"/>
    <col min="7698" max="7936" width="9.140625" style="116"/>
    <col min="7937" max="7937" width="14.28515625" style="116" bestFit="1" customWidth="1"/>
    <col min="7938" max="7938" width="53.140625" style="116" bestFit="1" customWidth="1"/>
    <col min="7939" max="7941" width="22.7109375" style="116" customWidth="1"/>
    <col min="7942" max="7942" width="1" style="116" customWidth="1"/>
    <col min="7943" max="7943" width="17.7109375" style="116" customWidth="1"/>
    <col min="7944" max="7947" width="0" style="116" hidden="1" customWidth="1"/>
    <col min="7948" max="7948" width="20.7109375" style="116" customWidth="1"/>
    <col min="7949" max="7949" width="9.140625" style="116"/>
    <col min="7950" max="7950" width="11.5703125" style="116" bestFit="1" customWidth="1"/>
    <col min="7951" max="7951" width="13.42578125" style="116" bestFit="1" customWidth="1"/>
    <col min="7952" max="7953" width="17.42578125" style="116" bestFit="1" customWidth="1"/>
    <col min="7954" max="8192" width="9.140625" style="116"/>
    <col min="8193" max="8193" width="14.28515625" style="116" bestFit="1" customWidth="1"/>
    <col min="8194" max="8194" width="53.140625" style="116" bestFit="1" customWidth="1"/>
    <col min="8195" max="8197" width="22.7109375" style="116" customWidth="1"/>
    <col min="8198" max="8198" width="1" style="116" customWidth="1"/>
    <col min="8199" max="8199" width="17.7109375" style="116" customWidth="1"/>
    <col min="8200" max="8203" width="0" style="116" hidden="1" customWidth="1"/>
    <col min="8204" max="8204" width="20.7109375" style="116" customWidth="1"/>
    <col min="8205" max="8205" width="9.140625" style="116"/>
    <col min="8206" max="8206" width="11.5703125" style="116" bestFit="1" customWidth="1"/>
    <col min="8207" max="8207" width="13.42578125" style="116" bestFit="1" customWidth="1"/>
    <col min="8208" max="8209" width="17.42578125" style="116" bestFit="1" customWidth="1"/>
    <col min="8210" max="8448" width="9.140625" style="116"/>
    <col min="8449" max="8449" width="14.28515625" style="116" bestFit="1" customWidth="1"/>
    <col min="8450" max="8450" width="53.140625" style="116" bestFit="1" customWidth="1"/>
    <col min="8451" max="8453" width="22.7109375" style="116" customWidth="1"/>
    <col min="8454" max="8454" width="1" style="116" customWidth="1"/>
    <col min="8455" max="8455" width="17.7109375" style="116" customWidth="1"/>
    <col min="8456" max="8459" width="0" style="116" hidden="1" customWidth="1"/>
    <col min="8460" max="8460" width="20.7109375" style="116" customWidth="1"/>
    <col min="8461" max="8461" width="9.140625" style="116"/>
    <col min="8462" max="8462" width="11.5703125" style="116" bestFit="1" customWidth="1"/>
    <col min="8463" max="8463" width="13.42578125" style="116" bestFit="1" customWidth="1"/>
    <col min="8464" max="8465" width="17.42578125" style="116" bestFit="1" customWidth="1"/>
    <col min="8466" max="8704" width="9.140625" style="116"/>
    <col min="8705" max="8705" width="14.28515625" style="116" bestFit="1" customWidth="1"/>
    <col min="8706" max="8706" width="53.140625" style="116" bestFit="1" customWidth="1"/>
    <col min="8707" max="8709" width="22.7109375" style="116" customWidth="1"/>
    <col min="8710" max="8710" width="1" style="116" customWidth="1"/>
    <col min="8711" max="8711" width="17.7109375" style="116" customWidth="1"/>
    <col min="8712" max="8715" width="0" style="116" hidden="1" customWidth="1"/>
    <col min="8716" max="8716" width="20.7109375" style="116" customWidth="1"/>
    <col min="8717" max="8717" width="9.140625" style="116"/>
    <col min="8718" max="8718" width="11.5703125" style="116" bestFit="1" customWidth="1"/>
    <col min="8719" max="8719" width="13.42578125" style="116" bestFit="1" customWidth="1"/>
    <col min="8720" max="8721" width="17.42578125" style="116" bestFit="1" customWidth="1"/>
    <col min="8722" max="8960" width="9.140625" style="116"/>
    <col min="8961" max="8961" width="14.28515625" style="116" bestFit="1" customWidth="1"/>
    <col min="8962" max="8962" width="53.140625" style="116" bestFit="1" customWidth="1"/>
    <col min="8963" max="8965" width="22.7109375" style="116" customWidth="1"/>
    <col min="8966" max="8966" width="1" style="116" customWidth="1"/>
    <col min="8967" max="8967" width="17.7109375" style="116" customWidth="1"/>
    <col min="8968" max="8971" width="0" style="116" hidden="1" customWidth="1"/>
    <col min="8972" max="8972" width="20.7109375" style="116" customWidth="1"/>
    <col min="8973" max="8973" width="9.140625" style="116"/>
    <col min="8974" max="8974" width="11.5703125" style="116" bestFit="1" customWidth="1"/>
    <col min="8975" max="8975" width="13.42578125" style="116" bestFit="1" customWidth="1"/>
    <col min="8976" max="8977" width="17.42578125" style="116" bestFit="1" customWidth="1"/>
    <col min="8978" max="9216" width="9.140625" style="116"/>
    <col min="9217" max="9217" width="14.28515625" style="116" bestFit="1" customWidth="1"/>
    <col min="9218" max="9218" width="53.140625" style="116" bestFit="1" customWidth="1"/>
    <col min="9219" max="9221" width="22.7109375" style="116" customWidth="1"/>
    <col min="9222" max="9222" width="1" style="116" customWidth="1"/>
    <col min="9223" max="9223" width="17.7109375" style="116" customWidth="1"/>
    <col min="9224" max="9227" width="0" style="116" hidden="1" customWidth="1"/>
    <col min="9228" max="9228" width="20.7109375" style="116" customWidth="1"/>
    <col min="9229" max="9229" width="9.140625" style="116"/>
    <col min="9230" max="9230" width="11.5703125" style="116" bestFit="1" customWidth="1"/>
    <col min="9231" max="9231" width="13.42578125" style="116" bestFit="1" customWidth="1"/>
    <col min="9232" max="9233" width="17.42578125" style="116" bestFit="1" customWidth="1"/>
    <col min="9234" max="9472" width="9.140625" style="116"/>
    <col min="9473" max="9473" width="14.28515625" style="116" bestFit="1" customWidth="1"/>
    <col min="9474" max="9474" width="53.140625" style="116" bestFit="1" customWidth="1"/>
    <col min="9475" max="9477" width="22.7109375" style="116" customWidth="1"/>
    <col min="9478" max="9478" width="1" style="116" customWidth="1"/>
    <col min="9479" max="9479" width="17.7109375" style="116" customWidth="1"/>
    <col min="9480" max="9483" width="0" style="116" hidden="1" customWidth="1"/>
    <col min="9484" max="9484" width="20.7109375" style="116" customWidth="1"/>
    <col min="9485" max="9485" width="9.140625" style="116"/>
    <col min="9486" max="9486" width="11.5703125" style="116" bestFit="1" customWidth="1"/>
    <col min="9487" max="9487" width="13.42578125" style="116" bestFit="1" customWidth="1"/>
    <col min="9488" max="9489" width="17.42578125" style="116" bestFit="1" customWidth="1"/>
    <col min="9490" max="9728" width="9.140625" style="116"/>
    <col min="9729" max="9729" width="14.28515625" style="116" bestFit="1" customWidth="1"/>
    <col min="9730" max="9730" width="53.140625" style="116" bestFit="1" customWidth="1"/>
    <col min="9731" max="9733" width="22.7109375" style="116" customWidth="1"/>
    <col min="9734" max="9734" width="1" style="116" customWidth="1"/>
    <col min="9735" max="9735" width="17.7109375" style="116" customWidth="1"/>
    <col min="9736" max="9739" width="0" style="116" hidden="1" customWidth="1"/>
    <col min="9740" max="9740" width="20.7109375" style="116" customWidth="1"/>
    <col min="9741" max="9741" width="9.140625" style="116"/>
    <col min="9742" max="9742" width="11.5703125" style="116" bestFit="1" customWidth="1"/>
    <col min="9743" max="9743" width="13.42578125" style="116" bestFit="1" customWidth="1"/>
    <col min="9744" max="9745" width="17.42578125" style="116" bestFit="1" customWidth="1"/>
    <col min="9746" max="9984" width="9.140625" style="116"/>
    <col min="9985" max="9985" width="14.28515625" style="116" bestFit="1" customWidth="1"/>
    <col min="9986" max="9986" width="53.140625" style="116" bestFit="1" customWidth="1"/>
    <col min="9987" max="9989" width="22.7109375" style="116" customWidth="1"/>
    <col min="9990" max="9990" width="1" style="116" customWidth="1"/>
    <col min="9991" max="9991" width="17.7109375" style="116" customWidth="1"/>
    <col min="9992" max="9995" width="0" style="116" hidden="1" customWidth="1"/>
    <col min="9996" max="9996" width="20.7109375" style="116" customWidth="1"/>
    <col min="9997" max="9997" width="9.140625" style="116"/>
    <col min="9998" max="9998" width="11.5703125" style="116" bestFit="1" customWidth="1"/>
    <col min="9999" max="9999" width="13.42578125" style="116" bestFit="1" customWidth="1"/>
    <col min="10000" max="10001" width="17.42578125" style="116" bestFit="1" customWidth="1"/>
    <col min="10002" max="10240" width="9.140625" style="116"/>
    <col min="10241" max="10241" width="14.28515625" style="116" bestFit="1" customWidth="1"/>
    <col min="10242" max="10242" width="53.140625" style="116" bestFit="1" customWidth="1"/>
    <col min="10243" max="10245" width="22.7109375" style="116" customWidth="1"/>
    <col min="10246" max="10246" width="1" style="116" customWidth="1"/>
    <col min="10247" max="10247" width="17.7109375" style="116" customWidth="1"/>
    <col min="10248" max="10251" width="0" style="116" hidden="1" customWidth="1"/>
    <col min="10252" max="10252" width="20.7109375" style="116" customWidth="1"/>
    <col min="10253" max="10253" width="9.140625" style="116"/>
    <col min="10254" max="10254" width="11.5703125" style="116" bestFit="1" customWidth="1"/>
    <col min="10255" max="10255" width="13.42578125" style="116" bestFit="1" customWidth="1"/>
    <col min="10256" max="10257" width="17.42578125" style="116" bestFit="1" customWidth="1"/>
    <col min="10258" max="10496" width="9.140625" style="116"/>
    <col min="10497" max="10497" width="14.28515625" style="116" bestFit="1" customWidth="1"/>
    <col min="10498" max="10498" width="53.140625" style="116" bestFit="1" customWidth="1"/>
    <col min="10499" max="10501" width="22.7109375" style="116" customWidth="1"/>
    <col min="10502" max="10502" width="1" style="116" customWidth="1"/>
    <col min="10503" max="10503" width="17.7109375" style="116" customWidth="1"/>
    <col min="10504" max="10507" width="0" style="116" hidden="1" customWidth="1"/>
    <col min="10508" max="10508" width="20.7109375" style="116" customWidth="1"/>
    <col min="10509" max="10509" width="9.140625" style="116"/>
    <col min="10510" max="10510" width="11.5703125" style="116" bestFit="1" customWidth="1"/>
    <col min="10511" max="10511" width="13.42578125" style="116" bestFit="1" customWidth="1"/>
    <col min="10512" max="10513" width="17.42578125" style="116" bestFit="1" customWidth="1"/>
    <col min="10514" max="10752" width="9.140625" style="116"/>
    <col min="10753" max="10753" width="14.28515625" style="116" bestFit="1" customWidth="1"/>
    <col min="10754" max="10754" width="53.140625" style="116" bestFit="1" customWidth="1"/>
    <col min="10755" max="10757" width="22.7109375" style="116" customWidth="1"/>
    <col min="10758" max="10758" width="1" style="116" customWidth="1"/>
    <col min="10759" max="10759" width="17.7109375" style="116" customWidth="1"/>
    <col min="10760" max="10763" width="0" style="116" hidden="1" customWidth="1"/>
    <col min="10764" max="10764" width="20.7109375" style="116" customWidth="1"/>
    <col min="10765" max="10765" width="9.140625" style="116"/>
    <col min="10766" max="10766" width="11.5703125" style="116" bestFit="1" customWidth="1"/>
    <col min="10767" max="10767" width="13.42578125" style="116" bestFit="1" customWidth="1"/>
    <col min="10768" max="10769" width="17.42578125" style="116" bestFit="1" customWidth="1"/>
    <col min="10770" max="11008" width="9.140625" style="116"/>
    <col min="11009" max="11009" width="14.28515625" style="116" bestFit="1" customWidth="1"/>
    <col min="11010" max="11010" width="53.140625" style="116" bestFit="1" customWidth="1"/>
    <col min="11011" max="11013" width="22.7109375" style="116" customWidth="1"/>
    <col min="11014" max="11014" width="1" style="116" customWidth="1"/>
    <col min="11015" max="11015" width="17.7109375" style="116" customWidth="1"/>
    <col min="11016" max="11019" width="0" style="116" hidden="1" customWidth="1"/>
    <col min="11020" max="11020" width="20.7109375" style="116" customWidth="1"/>
    <col min="11021" max="11021" width="9.140625" style="116"/>
    <col min="11022" max="11022" width="11.5703125" style="116" bestFit="1" customWidth="1"/>
    <col min="11023" max="11023" width="13.42578125" style="116" bestFit="1" customWidth="1"/>
    <col min="11024" max="11025" width="17.42578125" style="116" bestFit="1" customWidth="1"/>
    <col min="11026" max="11264" width="9.140625" style="116"/>
    <col min="11265" max="11265" width="14.28515625" style="116" bestFit="1" customWidth="1"/>
    <col min="11266" max="11266" width="53.140625" style="116" bestFit="1" customWidth="1"/>
    <col min="11267" max="11269" width="22.7109375" style="116" customWidth="1"/>
    <col min="11270" max="11270" width="1" style="116" customWidth="1"/>
    <col min="11271" max="11271" width="17.7109375" style="116" customWidth="1"/>
    <col min="11272" max="11275" width="0" style="116" hidden="1" customWidth="1"/>
    <col min="11276" max="11276" width="20.7109375" style="116" customWidth="1"/>
    <col min="11277" max="11277" width="9.140625" style="116"/>
    <col min="11278" max="11278" width="11.5703125" style="116" bestFit="1" customWidth="1"/>
    <col min="11279" max="11279" width="13.42578125" style="116" bestFit="1" customWidth="1"/>
    <col min="11280" max="11281" width="17.42578125" style="116" bestFit="1" customWidth="1"/>
    <col min="11282" max="11520" width="9.140625" style="116"/>
    <col min="11521" max="11521" width="14.28515625" style="116" bestFit="1" customWidth="1"/>
    <col min="11522" max="11522" width="53.140625" style="116" bestFit="1" customWidth="1"/>
    <col min="11523" max="11525" width="22.7109375" style="116" customWidth="1"/>
    <col min="11526" max="11526" width="1" style="116" customWidth="1"/>
    <col min="11527" max="11527" width="17.7109375" style="116" customWidth="1"/>
    <col min="11528" max="11531" width="0" style="116" hidden="1" customWidth="1"/>
    <col min="11532" max="11532" width="20.7109375" style="116" customWidth="1"/>
    <col min="11533" max="11533" width="9.140625" style="116"/>
    <col min="11534" max="11534" width="11.5703125" style="116" bestFit="1" customWidth="1"/>
    <col min="11535" max="11535" width="13.42578125" style="116" bestFit="1" customWidth="1"/>
    <col min="11536" max="11537" width="17.42578125" style="116" bestFit="1" customWidth="1"/>
    <col min="11538" max="11776" width="9.140625" style="116"/>
    <col min="11777" max="11777" width="14.28515625" style="116" bestFit="1" customWidth="1"/>
    <col min="11778" max="11778" width="53.140625" style="116" bestFit="1" customWidth="1"/>
    <col min="11779" max="11781" width="22.7109375" style="116" customWidth="1"/>
    <col min="11782" max="11782" width="1" style="116" customWidth="1"/>
    <col min="11783" max="11783" width="17.7109375" style="116" customWidth="1"/>
    <col min="11784" max="11787" width="0" style="116" hidden="1" customWidth="1"/>
    <col min="11788" max="11788" width="20.7109375" style="116" customWidth="1"/>
    <col min="11789" max="11789" width="9.140625" style="116"/>
    <col min="11790" max="11790" width="11.5703125" style="116" bestFit="1" customWidth="1"/>
    <col min="11791" max="11791" width="13.42578125" style="116" bestFit="1" customWidth="1"/>
    <col min="11792" max="11793" width="17.42578125" style="116" bestFit="1" customWidth="1"/>
    <col min="11794" max="12032" width="9.140625" style="116"/>
    <col min="12033" max="12033" width="14.28515625" style="116" bestFit="1" customWidth="1"/>
    <col min="12034" max="12034" width="53.140625" style="116" bestFit="1" customWidth="1"/>
    <col min="12035" max="12037" width="22.7109375" style="116" customWidth="1"/>
    <col min="12038" max="12038" width="1" style="116" customWidth="1"/>
    <col min="12039" max="12039" width="17.7109375" style="116" customWidth="1"/>
    <col min="12040" max="12043" width="0" style="116" hidden="1" customWidth="1"/>
    <col min="12044" max="12044" width="20.7109375" style="116" customWidth="1"/>
    <col min="12045" max="12045" width="9.140625" style="116"/>
    <col min="12046" max="12046" width="11.5703125" style="116" bestFit="1" customWidth="1"/>
    <col min="12047" max="12047" width="13.42578125" style="116" bestFit="1" customWidth="1"/>
    <col min="12048" max="12049" width="17.42578125" style="116" bestFit="1" customWidth="1"/>
    <col min="12050" max="12288" width="9.140625" style="116"/>
    <col min="12289" max="12289" width="14.28515625" style="116" bestFit="1" customWidth="1"/>
    <col min="12290" max="12290" width="53.140625" style="116" bestFit="1" customWidth="1"/>
    <col min="12291" max="12293" width="22.7109375" style="116" customWidth="1"/>
    <col min="12294" max="12294" width="1" style="116" customWidth="1"/>
    <col min="12295" max="12295" width="17.7109375" style="116" customWidth="1"/>
    <col min="12296" max="12299" width="0" style="116" hidden="1" customWidth="1"/>
    <col min="12300" max="12300" width="20.7109375" style="116" customWidth="1"/>
    <col min="12301" max="12301" width="9.140625" style="116"/>
    <col min="12302" max="12302" width="11.5703125" style="116" bestFit="1" customWidth="1"/>
    <col min="12303" max="12303" width="13.42578125" style="116" bestFit="1" customWidth="1"/>
    <col min="12304" max="12305" width="17.42578125" style="116" bestFit="1" customWidth="1"/>
    <col min="12306" max="12544" width="9.140625" style="116"/>
    <col min="12545" max="12545" width="14.28515625" style="116" bestFit="1" customWidth="1"/>
    <col min="12546" max="12546" width="53.140625" style="116" bestFit="1" customWidth="1"/>
    <col min="12547" max="12549" width="22.7109375" style="116" customWidth="1"/>
    <col min="12550" max="12550" width="1" style="116" customWidth="1"/>
    <col min="12551" max="12551" width="17.7109375" style="116" customWidth="1"/>
    <col min="12552" max="12555" width="0" style="116" hidden="1" customWidth="1"/>
    <col min="12556" max="12556" width="20.7109375" style="116" customWidth="1"/>
    <col min="12557" max="12557" width="9.140625" style="116"/>
    <col min="12558" max="12558" width="11.5703125" style="116" bestFit="1" customWidth="1"/>
    <col min="12559" max="12559" width="13.42578125" style="116" bestFit="1" customWidth="1"/>
    <col min="12560" max="12561" width="17.42578125" style="116" bestFit="1" customWidth="1"/>
    <col min="12562" max="12800" width="9.140625" style="116"/>
    <col min="12801" max="12801" width="14.28515625" style="116" bestFit="1" customWidth="1"/>
    <col min="12802" max="12802" width="53.140625" style="116" bestFit="1" customWidth="1"/>
    <col min="12803" max="12805" width="22.7109375" style="116" customWidth="1"/>
    <col min="12806" max="12806" width="1" style="116" customWidth="1"/>
    <col min="12807" max="12807" width="17.7109375" style="116" customWidth="1"/>
    <col min="12808" max="12811" width="0" style="116" hidden="1" customWidth="1"/>
    <col min="12812" max="12812" width="20.7109375" style="116" customWidth="1"/>
    <col min="12813" max="12813" width="9.140625" style="116"/>
    <col min="12814" max="12814" width="11.5703125" style="116" bestFit="1" customWidth="1"/>
    <col min="12815" max="12815" width="13.42578125" style="116" bestFit="1" customWidth="1"/>
    <col min="12816" max="12817" width="17.42578125" style="116" bestFit="1" customWidth="1"/>
    <col min="12818" max="13056" width="9.140625" style="116"/>
    <col min="13057" max="13057" width="14.28515625" style="116" bestFit="1" customWidth="1"/>
    <col min="13058" max="13058" width="53.140625" style="116" bestFit="1" customWidth="1"/>
    <col min="13059" max="13061" width="22.7109375" style="116" customWidth="1"/>
    <col min="13062" max="13062" width="1" style="116" customWidth="1"/>
    <col min="13063" max="13063" width="17.7109375" style="116" customWidth="1"/>
    <col min="13064" max="13067" width="0" style="116" hidden="1" customWidth="1"/>
    <col min="13068" max="13068" width="20.7109375" style="116" customWidth="1"/>
    <col min="13069" max="13069" width="9.140625" style="116"/>
    <col min="13070" max="13070" width="11.5703125" style="116" bestFit="1" customWidth="1"/>
    <col min="13071" max="13071" width="13.42578125" style="116" bestFit="1" customWidth="1"/>
    <col min="13072" max="13073" width="17.42578125" style="116" bestFit="1" customWidth="1"/>
    <col min="13074" max="13312" width="9.140625" style="116"/>
    <col min="13313" max="13313" width="14.28515625" style="116" bestFit="1" customWidth="1"/>
    <col min="13314" max="13314" width="53.140625" style="116" bestFit="1" customWidth="1"/>
    <col min="13315" max="13317" width="22.7109375" style="116" customWidth="1"/>
    <col min="13318" max="13318" width="1" style="116" customWidth="1"/>
    <col min="13319" max="13319" width="17.7109375" style="116" customWidth="1"/>
    <col min="13320" max="13323" width="0" style="116" hidden="1" customWidth="1"/>
    <col min="13324" max="13324" width="20.7109375" style="116" customWidth="1"/>
    <col min="13325" max="13325" width="9.140625" style="116"/>
    <col min="13326" max="13326" width="11.5703125" style="116" bestFit="1" customWidth="1"/>
    <col min="13327" max="13327" width="13.42578125" style="116" bestFit="1" customWidth="1"/>
    <col min="13328" max="13329" width="17.42578125" style="116" bestFit="1" customWidth="1"/>
    <col min="13330" max="13568" width="9.140625" style="116"/>
    <col min="13569" max="13569" width="14.28515625" style="116" bestFit="1" customWidth="1"/>
    <col min="13570" max="13570" width="53.140625" style="116" bestFit="1" customWidth="1"/>
    <col min="13571" max="13573" width="22.7109375" style="116" customWidth="1"/>
    <col min="13574" max="13574" width="1" style="116" customWidth="1"/>
    <col min="13575" max="13575" width="17.7109375" style="116" customWidth="1"/>
    <col min="13576" max="13579" width="0" style="116" hidden="1" customWidth="1"/>
    <col min="13580" max="13580" width="20.7109375" style="116" customWidth="1"/>
    <col min="13581" max="13581" width="9.140625" style="116"/>
    <col min="13582" max="13582" width="11.5703125" style="116" bestFit="1" customWidth="1"/>
    <col min="13583" max="13583" width="13.42578125" style="116" bestFit="1" customWidth="1"/>
    <col min="13584" max="13585" width="17.42578125" style="116" bestFit="1" customWidth="1"/>
    <col min="13586" max="13824" width="9.140625" style="116"/>
    <col min="13825" max="13825" width="14.28515625" style="116" bestFit="1" customWidth="1"/>
    <col min="13826" max="13826" width="53.140625" style="116" bestFit="1" customWidth="1"/>
    <col min="13827" max="13829" width="22.7109375" style="116" customWidth="1"/>
    <col min="13830" max="13830" width="1" style="116" customWidth="1"/>
    <col min="13831" max="13831" width="17.7109375" style="116" customWidth="1"/>
    <col min="13832" max="13835" width="0" style="116" hidden="1" customWidth="1"/>
    <col min="13836" max="13836" width="20.7109375" style="116" customWidth="1"/>
    <col min="13837" max="13837" width="9.140625" style="116"/>
    <col min="13838" max="13838" width="11.5703125" style="116" bestFit="1" customWidth="1"/>
    <col min="13839" max="13839" width="13.42578125" style="116" bestFit="1" customWidth="1"/>
    <col min="13840" max="13841" width="17.42578125" style="116" bestFit="1" customWidth="1"/>
    <col min="13842" max="14080" width="9.140625" style="116"/>
    <col min="14081" max="14081" width="14.28515625" style="116" bestFit="1" customWidth="1"/>
    <col min="14082" max="14082" width="53.140625" style="116" bestFit="1" customWidth="1"/>
    <col min="14083" max="14085" width="22.7109375" style="116" customWidth="1"/>
    <col min="14086" max="14086" width="1" style="116" customWidth="1"/>
    <col min="14087" max="14087" width="17.7109375" style="116" customWidth="1"/>
    <col min="14088" max="14091" width="0" style="116" hidden="1" customWidth="1"/>
    <col min="14092" max="14092" width="20.7109375" style="116" customWidth="1"/>
    <col min="14093" max="14093" width="9.140625" style="116"/>
    <col min="14094" max="14094" width="11.5703125" style="116" bestFit="1" customWidth="1"/>
    <col min="14095" max="14095" width="13.42578125" style="116" bestFit="1" customWidth="1"/>
    <col min="14096" max="14097" width="17.42578125" style="116" bestFit="1" customWidth="1"/>
    <col min="14098" max="14336" width="9.140625" style="116"/>
    <col min="14337" max="14337" width="14.28515625" style="116" bestFit="1" customWidth="1"/>
    <col min="14338" max="14338" width="53.140625" style="116" bestFit="1" customWidth="1"/>
    <col min="14339" max="14341" width="22.7109375" style="116" customWidth="1"/>
    <col min="14342" max="14342" width="1" style="116" customWidth="1"/>
    <col min="14343" max="14343" width="17.7109375" style="116" customWidth="1"/>
    <col min="14344" max="14347" width="0" style="116" hidden="1" customWidth="1"/>
    <col min="14348" max="14348" width="20.7109375" style="116" customWidth="1"/>
    <col min="14349" max="14349" width="9.140625" style="116"/>
    <col min="14350" max="14350" width="11.5703125" style="116" bestFit="1" customWidth="1"/>
    <col min="14351" max="14351" width="13.42578125" style="116" bestFit="1" customWidth="1"/>
    <col min="14352" max="14353" width="17.42578125" style="116" bestFit="1" customWidth="1"/>
    <col min="14354" max="14592" width="9.140625" style="116"/>
    <col min="14593" max="14593" width="14.28515625" style="116" bestFit="1" customWidth="1"/>
    <col min="14594" max="14594" width="53.140625" style="116" bestFit="1" customWidth="1"/>
    <col min="14595" max="14597" width="22.7109375" style="116" customWidth="1"/>
    <col min="14598" max="14598" width="1" style="116" customWidth="1"/>
    <col min="14599" max="14599" width="17.7109375" style="116" customWidth="1"/>
    <col min="14600" max="14603" width="0" style="116" hidden="1" customWidth="1"/>
    <col min="14604" max="14604" width="20.7109375" style="116" customWidth="1"/>
    <col min="14605" max="14605" width="9.140625" style="116"/>
    <col min="14606" max="14606" width="11.5703125" style="116" bestFit="1" customWidth="1"/>
    <col min="14607" max="14607" width="13.42578125" style="116" bestFit="1" customWidth="1"/>
    <col min="14608" max="14609" width="17.42578125" style="116" bestFit="1" customWidth="1"/>
    <col min="14610" max="14848" width="9.140625" style="116"/>
    <col min="14849" max="14849" width="14.28515625" style="116" bestFit="1" customWidth="1"/>
    <col min="14850" max="14850" width="53.140625" style="116" bestFit="1" customWidth="1"/>
    <col min="14851" max="14853" width="22.7109375" style="116" customWidth="1"/>
    <col min="14854" max="14854" width="1" style="116" customWidth="1"/>
    <col min="14855" max="14855" width="17.7109375" style="116" customWidth="1"/>
    <col min="14856" max="14859" width="0" style="116" hidden="1" customWidth="1"/>
    <col min="14860" max="14860" width="20.7109375" style="116" customWidth="1"/>
    <col min="14861" max="14861" width="9.140625" style="116"/>
    <col min="14862" max="14862" width="11.5703125" style="116" bestFit="1" customWidth="1"/>
    <col min="14863" max="14863" width="13.42578125" style="116" bestFit="1" customWidth="1"/>
    <col min="14864" max="14865" width="17.42578125" style="116" bestFit="1" customWidth="1"/>
    <col min="14866" max="15104" width="9.140625" style="116"/>
    <col min="15105" max="15105" width="14.28515625" style="116" bestFit="1" customWidth="1"/>
    <col min="15106" max="15106" width="53.140625" style="116" bestFit="1" customWidth="1"/>
    <col min="15107" max="15109" width="22.7109375" style="116" customWidth="1"/>
    <col min="15110" max="15110" width="1" style="116" customWidth="1"/>
    <col min="15111" max="15111" width="17.7109375" style="116" customWidth="1"/>
    <col min="15112" max="15115" width="0" style="116" hidden="1" customWidth="1"/>
    <col min="15116" max="15116" width="20.7109375" style="116" customWidth="1"/>
    <col min="15117" max="15117" width="9.140625" style="116"/>
    <col min="15118" max="15118" width="11.5703125" style="116" bestFit="1" customWidth="1"/>
    <col min="15119" max="15119" width="13.42578125" style="116" bestFit="1" customWidth="1"/>
    <col min="15120" max="15121" width="17.42578125" style="116" bestFit="1" customWidth="1"/>
    <col min="15122" max="15360" width="9.140625" style="116"/>
    <col min="15361" max="15361" width="14.28515625" style="116" bestFit="1" customWidth="1"/>
    <col min="15362" max="15362" width="53.140625" style="116" bestFit="1" customWidth="1"/>
    <col min="15363" max="15365" width="22.7109375" style="116" customWidth="1"/>
    <col min="15366" max="15366" width="1" style="116" customWidth="1"/>
    <col min="15367" max="15367" width="17.7109375" style="116" customWidth="1"/>
    <col min="15368" max="15371" width="0" style="116" hidden="1" customWidth="1"/>
    <col min="15372" max="15372" width="20.7109375" style="116" customWidth="1"/>
    <col min="15373" max="15373" width="9.140625" style="116"/>
    <col min="15374" max="15374" width="11.5703125" style="116" bestFit="1" customWidth="1"/>
    <col min="15375" max="15375" width="13.42578125" style="116" bestFit="1" customWidth="1"/>
    <col min="15376" max="15377" width="17.42578125" style="116" bestFit="1" customWidth="1"/>
    <col min="15378" max="15616" width="9.140625" style="116"/>
    <col min="15617" max="15617" width="14.28515625" style="116" bestFit="1" customWidth="1"/>
    <col min="15618" max="15618" width="53.140625" style="116" bestFit="1" customWidth="1"/>
    <col min="15619" max="15621" width="22.7109375" style="116" customWidth="1"/>
    <col min="15622" max="15622" width="1" style="116" customWidth="1"/>
    <col min="15623" max="15623" width="17.7109375" style="116" customWidth="1"/>
    <col min="15624" max="15627" width="0" style="116" hidden="1" customWidth="1"/>
    <col min="15628" max="15628" width="20.7109375" style="116" customWidth="1"/>
    <col min="15629" max="15629" width="9.140625" style="116"/>
    <col min="15630" max="15630" width="11.5703125" style="116" bestFit="1" customWidth="1"/>
    <col min="15631" max="15631" width="13.42578125" style="116" bestFit="1" customWidth="1"/>
    <col min="15632" max="15633" width="17.42578125" style="116" bestFit="1" customWidth="1"/>
    <col min="15634" max="15872" width="9.140625" style="116"/>
    <col min="15873" max="15873" width="14.28515625" style="116" bestFit="1" customWidth="1"/>
    <col min="15874" max="15874" width="53.140625" style="116" bestFit="1" customWidth="1"/>
    <col min="15875" max="15877" width="22.7109375" style="116" customWidth="1"/>
    <col min="15878" max="15878" width="1" style="116" customWidth="1"/>
    <col min="15879" max="15879" width="17.7109375" style="116" customWidth="1"/>
    <col min="15880" max="15883" width="0" style="116" hidden="1" customWidth="1"/>
    <col min="15884" max="15884" width="20.7109375" style="116" customWidth="1"/>
    <col min="15885" max="15885" width="9.140625" style="116"/>
    <col min="15886" max="15886" width="11.5703125" style="116" bestFit="1" customWidth="1"/>
    <col min="15887" max="15887" width="13.42578125" style="116" bestFit="1" customWidth="1"/>
    <col min="15888" max="15889" width="17.42578125" style="116" bestFit="1" customWidth="1"/>
    <col min="15890" max="16128" width="9.140625" style="116"/>
    <col min="16129" max="16129" width="14.28515625" style="116" bestFit="1" customWidth="1"/>
    <col min="16130" max="16130" width="53.140625" style="116" bestFit="1" customWidth="1"/>
    <col min="16131" max="16133" width="22.7109375" style="116" customWidth="1"/>
    <col min="16134" max="16134" width="1" style="116" customWidth="1"/>
    <col min="16135" max="16135" width="17.7109375" style="116" customWidth="1"/>
    <col min="16136" max="16139" width="0" style="116" hidden="1" customWidth="1"/>
    <col min="16140" max="16140" width="20.7109375" style="116" customWidth="1"/>
    <col min="16141" max="16141" width="9.140625" style="116"/>
    <col min="16142" max="16142" width="11.5703125" style="116" bestFit="1" customWidth="1"/>
    <col min="16143" max="16143" width="13.42578125" style="116" bestFit="1" customWidth="1"/>
    <col min="16144" max="16145" width="17.42578125" style="116" bestFit="1" customWidth="1"/>
    <col min="16146" max="16384" width="9.140625" style="116"/>
  </cols>
  <sheetData>
    <row r="1" spans="1:17" x14ac:dyDescent="0.25">
      <c r="A1" s="115" t="s">
        <v>359</v>
      </c>
      <c r="B1" s="115" t="s">
        <v>360</v>
      </c>
      <c r="H1" s="118"/>
      <c r="J1" s="118"/>
      <c r="K1" s="118"/>
    </row>
    <row r="2" spans="1:17" s="120" customFormat="1" x14ac:dyDescent="0.25">
      <c r="A2" s="115" t="s">
        <v>361</v>
      </c>
      <c r="B2" s="115" t="s">
        <v>360</v>
      </c>
      <c r="C2" s="116"/>
      <c r="D2" s="116"/>
      <c r="E2" s="116"/>
      <c r="F2" s="117"/>
      <c r="G2" s="116"/>
      <c r="H2" s="116"/>
      <c r="I2" s="116"/>
      <c r="J2" s="116"/>
      <c r="K2" s="116"/>
      <c r="L2" s="119"/>
    </row>
    <row r="3" spans="1:17" x14ac:dyDescent="0.25">
      <c r="B3" s="121" t="s">
        <v>362</v>
      </c>
      <c r="C3" s="122" t="s">
        <v>363</v>
      </c>
      <c r="D3" s="122" t="s">
        <v>364</v>
      </c>
      <c r="E3" s="122" t="s">
        <v>365</v>
      </c>
      <c r="F3" s="123"/>
      <c r="G3" s="122" t="s">
        <v>366</v>
      </c>
      <c r="H3" s="124"/>
      <c r="I3" s="125" t="s">
        <v>367</v>
      </c>
      <c r="J3" s="124"/>
      <c r="K3" s="124"/>
    </row>
    <row r="4" spans="1:17" ht="12.75" customHeight="1" x14ac:dyDescent="0.25">
      <c r="A4" s="126" t="s">
        <v>368</v>
      </c>
      <c r="B4" s="127"/>
      <c r="C4" s="128"/>
      <c r="D4" s="263" t="s">
        <v>369</v>
      </c>
      <c r="E4" s="129" t="s">
        <v>370</v>
      </c>
      <c r="F4" s="130"/>
      <c r="G4" s="131" t="s">
        <v>371</v>
      </c>
      <c r="H4" s="124"/>
      <c r="I4" s="132" t="s">
        <v>372</v>
      </c>
      <c r="J4" s="125" t="s">
        <v>367</v>
      </c>
      <c r="K4" s="125" t="s">
        <v>367</v>
      </c>
      <c r="P4" s="133" t="s">
        <v>373</v>
      </c>
      <c r="Q4" s="133" t="s">
        <v>374</v>
      </c>
    </row>
    <row r="5" spans="1:17" x14ac:dyDescent="0.25">
      <c r="A5" s="134" t="s">
        <v>375</v>
      </c>
      <c r="B5" s="135" t="s">
        <v>376</v>
      </c>
      <c r="C5" s="136" t="s">
        <v>377</v>
      </c>
      <c r="D5" s="263"/>
      <c r="E5" s="129" t="s">
        <v>378</v>
      </c>
      <c r="F5" s="130"/>
      <c r="G5" s="131" t="s">
        <v>379</v>
      </c>
      <c r="H5" s="132" t="s">
        <v>380</v>
      </c>
      <c r="I5" s="132" t="s">
        <v>381</v>
      </c>
      <c r="J5" s="132" t="s">
        <v>382</v>
      </c>
      <c r="K5" s="132" t="s">
        <v>383</v>
      </c>
      <c r="L5" s="137" t="s">
        <v>384</v>
      </c>
      <c r="N5" s="131" t="s">
        <v>385</v>
      </c>
      <c r="O5" s="131" t="s">
        <v>386</v>
      </c>
      <c r="P5" s="133" t="s">
        <v>387</v>
      </c>
      <c r="Q5" s="133" t="s">
        <v>387</v>
      </c>
    </row>
    <row r="6" spans="1:17" outlineLevel="1" x14ac:dyDescent="0.25">
      <c r="A6" s="138">
        <v>120</v>
      </c>
      <c r="B6" s="126" t="s">
        <v>388</v>
      </c>
      <c r="C6" s="139">
        <v>362762.39000000031</v>
      </c>
      <c r="D6" s="140">
        <v>270654.88</v>
      </c>
      <c r="E6" s="141">
        <v>92107.5100000003</v>
      </c>
      <c r="F6" s="142"/>
      <c r="G6" s="140">
        <v>172696.67</v>
      </c>
      <c r="H6" s="143">
        <v>-80589.159999999712</v>
      </c>
      <c r="I6" s="144">
        <v>-29531.200000000001</v>
      </c>
      <c r="J6" s="144">
        <v>1528.99</v>
      </c>
      <c r="K6" s="144">
        <v>0</v>
      </c>
      <c r="L6" s="145">
        <v>-108591.3699999997</v>
      </c>
      <c r="N6" s="141">
        <v>8339.1</v>
      </c>
      <c r="O6" s="141">
        <v>109080.44</v>
      </c>
      <c r="P6" s="146">
        <v>-100741.34</v>
      </c>
      <c r="Q6" s="146">
        <v>21681.170000000289</v>
      </c>
    </row>
    <row r="7" spans="1:17" outlineLevel="1" x14ac:dyDescent="0.25">
      <c r="A7" s="138">
        <v>121</v>
      </c>
      <c r="B7" s="126" t="s">
        <v>389</v>
      </c>
      <c r="C7" s="139">
        <v>677695.02000000072</v>
      </c>
      <c r="D7" s="140">
        <v>362913.41000000009</v>
      </c>
      <c r="E7" s="141">
        <v>314781.61000000063</v>
      </c>
      <c r="F7" s="142"/>
      <c r="G7" s="140">
        <v>208047.89</v>
      </c>
      <c r="H7" s="143">
        <v>106733.72000000061</v>
      </c>
      <c r="I7" s="144">
        <v>-1.0914047443577601E-12</v>
      </c>
      <c r="J7" s="144">
        <v>-18984.989999999998</v>
      </c>
      <c r="K7" s="144">
        <v>0</v>
      </c>
      <c r="L7" s="145">
        <v>87748.730000000622</v>
      </c>
      <c r="N7" s="141">
        <v>244655.9</v>
      </c>
      <c r="O7" s="141">
        <v>122378.39</v>
      </c>
      <c r="P7" s="146">
        <v>122277.51</v>
      </c>
      <c r="Q7" s="146">
        <v>-34528.779999999373</v>
      </c>
    </row>
    <row r="8" spans="1:17" outlineLevel="1" x14ac:dyDescent="0.25">
      <c r="A8" s="138">
        <v>122</v>
      </c>
      <c r="B8" s="126" t="s">
        <v>390</v>
      </c>
      <c r="C8" s="139">
        <v>1366804.4899999998</v>
      </c>
      <c r="D8" s="140">
        <v>548531.31999999995</v>
      </c>
      <c r="E8" s="141">
        <v>818273.16999999981</v>
      </c>
      <c r="F8" s="142"/>
      <c r="G8" s="140">
        <v>334127.68</v>
      </c>
      <c r="H8" s="143">
        <v>484145.48999999982</v>
      </c>
      <c r="I8" s="144">
        <v>7.2758465918809634E-13</v>
      </c>
      <c r="J8" s="144">
        <v>38573.310000000005</v>
      </c>
      <c r="K8" s="144">
        <v>0</v>
      </c>
      <c r="L8" s="145">
        <v>522718.79999999981</v>
      </c>
      <c r="N8" s="141">
        <v>552665.84</v>
      </c>
      <c r="O8" s="141">
        <v>271501</v>
      </c>
      <c r="P8" s="146">
        <v>281164.83999999997</v>
      </c>
      <c r="Q8" s="146">
        <v>241553.95999999985</v>
      </c>
    </row>
    <row r="9" spans="1:17" outlineLevel="1" x14ac:dyDescent="0.25">
      <c r="A9" s="138">
        <v>123</v>
      </c>
      <c r="B9" s="126" t="s">
        <v>391</v>
      </c>
      <c r="C9" s="139">
        <v>1497077.24</v>
      </c>
      <c r="D9" s="140">
        <v>631261.83999999985</v>
      </c>
      <c r="E9" s="141">
        <v>865815.40000000014</v>
      </c>
      <c r="F9" s="142"/>
      <c r="G9" s="140">
        <v>313736.87</v>
      </c>
      <c r="H9" s="143">
        <v>552078.53000000014</v>
      </c>
      <c r="I9" s="144">
        <v>-81990.070000000007</v>
      </c>
      <c r="J9" s="144">
        <v>-3503.1400000000003</v>
      </c>
      <c r="K9" s="144">
        <v>0</v>
      </c>
      <c r="L9" s="145">
        <v>466585.32000000012</v>
      </c>
      <c r="N9" s="141">
        <v>566034.94999999995</v>
      </c>
      <c r="O9" s="141">
        <v>326032.90999999997</v>
      </c>
      <c r="P9" s="146">
        <v>240002.03999999998</v>
      </c>
      <c r="Q9" s="146">
        <v>308573.35000000015</v>
      </c>
    </row>
    <row r="10" spans="1:17" outlineLevel="1" x14ac:dyDescent="0.25">
      <c r="A10" s="138">
        <v>124</v>
      </c>
      <c r="B10" s="126" t="s">
        <v>392</v>
      </c>
      <c r="C10" s="139">
        <v>2025175.8300000005</v>
      </c>
      <c r="D10" s="140">
        <v>712300.06999999972</v>
      </c>
      <c r="E10" s="141">
        <v>1312875.7600000007</v>
      </c>
      <c r="F10" s="142"/>
      <c r="G10" s="140">
        <v>250492.51</v>
      </c>
      <c r="H10" s="143">
        <v>1062383.2500000007</v>
      </c>
      <c r="I10" s="144">
        <v>-3128.179999999993</v>
      </c>
      <c r="J10" s="144">
        <v>-40260.21</v>
      </c>
      <c r="K10" s="144">
        <v>0</v>
      </c>
      <c r="L10" s="145">
        <v>1018994.8600000008</v>
      </c>
      <c r="N10" s="141">
        <v>670646.86</v>
      </c>
      <c r="O10" s="141">
        <v>136096.46</v>
      </c>
      <c r="P10" s="146">
        <v>534550.4</v>
      </c>
      <c r="Q10" s="146">
        <v>487572.64000000071</v>
      </c>
    </row>
    <row r="11" spans="1:17" outlineLevel="1" x14ac:dyDescent="0.25">
      <c r="A11" s="138">
        <v>131</v>
      </c>
      <c r="B11" s="147" t="s">
        <v>393</v>
      </c>
      <c r="C11" s="139">
        <v>2524550.149999999</v>
      </c>
      <c r="D11" s="140">
        <v>704284.02999999968</v>
      </c>
      <c r="E11" s="141">
        <v>1820266.1199999992</v>
      </c>
      <c r="F11" s="142"/>
      <c r="G11" s="140">
        <v>501433.71</v>
      </c>
      <c r="H11" s="143">
        <v>1318832.4099999992</v>
      </c>
      <c r="I11" s="144">
        <v>-24172.800000000003</v>
      </c>
      <c r="J11" s="144">
        <v>2968.0899999999992</v>
      </c>
      <c r="K11" s="144">
        <v>0</v>
      </c>
      <c r="L11" s="145">
        <v>1297627.6999999993</v>
      </c>
      <c r="N11" s="141">
        <v>1165077.06</v>
      </c>
      <c r="O11" s="141">
        <v>441053.85</v>
      </c>
      <c r="P11" s="146">
        <v>724023.21000000008</v>
      </c>
      <c r="Q11" s="146">
        <v>597777.28999999922</v>
      </c>
    </row>
    <row r="12" spans="1:17" outlineLevel="1" x14ac:dyDescent="0.25">
      <c r="A12" s="138">
        <v>151</v>
      </c>
      <c r="B12" s="126" t="s">
        <v>394</v>
      </c>
      <c r="C12" s="139">
        <v>3006788.3700000029</v>
      </c>
      <c r="D12" s="140">
        <v>581354.42000000202</v>
      </c>
      <c r="E12" s="141">
        <v>2425433.9500000011</v>
      </c>
      <c r="F12" s="142"/>
      <c r="G12" s="140">
        <v>-53551.54</v>
      </c>
      <c r="H12" s="143">
        <v>2478985.4900000012</v>
      </c>
      <c r="I12" s="144">
        <v>-61802.399999999994</v>
      </c>
      <c r="J12" s="144">
        <v>-24794.600000000002</v>
      </c>
      <c r="K12" s="144">
        <v>0</v>
      </c>
      <c r="L12" s="145">
        <v>2392388.4900000012</v>
      </c>
      <c r="N12" s="141">
        <v>1419851.37</v>
      </c>
      <c r="O12" s="141">
        <v>13925.38</v>
      </c>
      <c r="P12" s="146">
        <v>1405925.9900000002</v>
      </c>
      <c r="Q12" s="146">
        <v>1048264.9000000008</v>
      </c>
    </row>
    <row r="13" spans="1:17" outlineLevel="1" x14ac:dyDescent="0.25">
      <c r="A13" s="138">
        <v>152</v>
      </c>
      <c r="B13" s="126" t="s">
        <v>395</v>
      </c>
      <c r="C13" s="139">
        <v>985218.5400000012</v>
      </c>
      <c r="D13" s="140">
        <v>336905.28</v>
      </c>
      <c r="E13" s="141">
        <v>648313.26000000117</v>
      </c>
      <c r="F13" s="142"/>
      <c r="G13" s="140">
        <v>181413.38</v>
      </c>
      <c r="H13" s="143">
        <v>466899.88000000117</v>
      </c>
      <c r="I13" s="144">
        <v>-41288.800000000003</v>
      </c>
      <c r="J13" s="144">
        <v>-29274.22</v>
      </c>
      <c r="K13" s="144">
        <v>0</v>
      </c>
      <c r="L13" s="145">
        <v>396336.86000000115</v>
      </c>
      <c r="N13" s="141">
        <v>443667.62</v>
      </c>
      <c r="O13" s="141">
        <v>81630.55</v>
      </c>
      <c r="P13" s="146">
        <v>362037.07</v>
      </c>
      <c r="Q13" s="146">
        <v>75588.59000000119</v>
      </c>
    </row>
    <row r="14" spans="1:17" outlineLevel="1" x14ac:dyDescent="0.25">
      <c r="A14" s="138">
        <v>153</v>
      </c>
      <c r="B14" s="126" t="s">
        <v>396</v>
      </c>
      <c r="C14" s="139">
        <v>2665254.7000000048</v>
      </c>
      <c r="D14" s="140">
        <v>715487.63000000047</v>
      </c>
      <c r="E14" s="141">
        <v>1949767.0700000045</v>
      </c>
      <c r="F14" s="142"/>
      <c r="G14" s="140">
        <v>-108837.71</v>
      </c>
      <c r="H14" s="143">
        <v>2058604.7800000045</v>
      </c>
      <c r="I14" s="144">
        <v>-56080.799999999996</v>
      </c>
      <c r="J14" s="144">
        <v>-30054.800000000003</v>
      </c>
      <c r="K14" s="144">
        <v>-136512.26</v>
      </c>
      <c r="L14" s="145">
        <v>1835956.9200000043</v>
      </c>
      <c r="N14" s="141">
        <v>1433182.56</v>
      </c>
      <c r="O14" s="141">
        <v>222964.31</v>
      </c>
      <c r="P14" s="146">
        <v>1210218.25</v>
      </c>
      <c r="Q14" s="146">
        <v>681819.4700000044</v>
      </c>
    </row>
    <row r="15" spans="1:17" outlineLevel="1" x14ac:dyDescent="0.25">
      <c r="A15" s="138">
        <v>154</v>
      </c>
      <c r="B15" s="126" t="s">
        <v>397</v>
      </c>
      <c r="C15" s="139">
        <v>2577922.2699999986</v>
      </c>
      <c r="D15" s="140">
        <v>1019364.1399999998</v>
      </c>
      <c r="E15" s="141">
        <v>1558558.129999999</v>
      </c>
      <c r="F15" s="142"/>
      <c r="G15" s="140">
        <v>187568.03</v>
      </c>
      <c r="H15" s="143">
        <v>1370990.0999999989</v>
      </c>
      <c r="I15" s="144">
        <v>-9.0949470177292824E-13</v>
      </c>
      <c r="J15" s="144">
        <v>-15569.619999999999</v>
      </c>
      <c r="K15" s="144">
        <v>0</v>
      </c>
      <c r="L15" s="145">
        <v>1355420.4799999988</v>
      </c>
      <c r="N15" s="141">
        <v>858293.83</v>
      </c>
      <c r="O15" s="141">
        <v>189608.66</v>
      </c>
      <c r="P15" s="146">
        <v>668685.16999999993</v>
      </c>
      <c r="Q15" s="146">
        <v>686735.30999999889</v>
      </c>
    </row>
    <row r="16" spans="1:17" outlineLevel="1" x14ac:dyDescent="0.25">
      <c r="A16" s="138">
        <v>155</v>
      </c>
      <c r="B16" s="126" t="s">
        <v>398</v>
      </c>
      <c r="C16" s="139">
        <v>2314548.2799999979</v>
      </c>
      <c r="D16" s="140">
        <v>962860.63000000105</v>
      </c>
      <c r="E16" s="141">
        <v>1351687.6499999969</v>
      </c>
      <c r="F16" s="142"/>
      <c r="G16" s="140">
        <v>135427.57</v>
      </c>
      <c r="H16" s="143">
        <v>1216260.0799999968</v>
      </c>
      <c r="I16" s="144">
        <v>-58855.199999999997</v>
      </c>
      <c r="J16" s="144">
        <v>-26660.6</v>
      </c>
      <c r="K16" s="144">
        <v>0</v>
      </c>
      <c r="L16" s="145">
        <v>1130744.2799999968</v>
      </c>
      <c r="N16" s="141">
        <v>838624.26</v>
      </c>
      <c r="O16" s="141">
        <v>78177.7</v>
      </c>
      <c r="P16" s="146">
        <v>760446.56</v>
      </c>
      <c r="Q16" s="146">
        <v>429152.91999999667</v>
      </c>
    </row>
    <row r="17" spans="1:17" outlineLevel="1" x14ac:dyDescent="0.25">
      <c r="A17" s="138">
        <v>157</v>
      </c>
      <c r="B17" s="126" t="s">
        <v>399</v>
      </c>
      <c r="C17" s="139">
        <v>2572139.7599999988</v>
      </c>
      <c r="D17" s="140">
        <v>832923.07000000065</v>
      </c>
      <c r="E17" s="141">
        <v>1739216.6899999981</v>
      </c>
      <c r="F17" s="142"/>
      <c r="G17" s="140">
        <v>47798.99</v>
      </c>
      <c r="H17" s="143">
        <v>1691417.6999999981</v>
      </c>
      <c r="I17" s="144">
        <v>-8668.4000000000015</v>
      </c>
      <c r="J17" s="144">
        <v>1545.6</v>
      </c>
      <c r="K17" s="144">
        <v>0</v>
      </c>
      <c r="L17" s="145">
        <v>1684294.8999999983</v>
      </c>
      <c r="N17" s="141">
        <v>817006.87</v>
      </c>
      <c r="O17" s="141">
        <v>99731.13</v>
      </c>
      <c r="P17" s="146">
        <v>717275.74</v>
      </c>
      <c r="Q17" s="146">
        <v>975687.55999999819</v>
      </c>
    </row>
    <row r="18" spans="1:17" outlineLevel="1" x14ac:dyDescent="0.25">
      <c r="A18" s="138">
        <v>158</v>
      </c>
      <c r="B18" s="126" t="s">
        <v>400</v>
      </c>
      <c r="C18" s="139">
        <v>1326753.8399999996</v>
      </c>
      <c r="D18" s="140">
        <v>431656.14000000013</v>
      </c>
      <c r="E18" s="141">
        <v>895097.69999999949</v>
      </c>
      <c r="F18" s="142"/>
      <c r="G18" s="140">
        <v>285261.42</v>
      </c>
      <c r="H18" s="143">
        <v>609836.27999999956</v>
      </c>
      <c r="I18" s="144">
        <v>-27114.000000000004</v>
      </c>
      <c r="J18" s="144">
        <v>-31452.17</v>
      </c>
      <c r="K18" s="144">
        <v>0</v>
      </c>
      <c r="L18" s="145">
        <v>551270.10999999952</v>
      </c>
      <c r="N18" s="141">
        <v>599359.87</v>
      </c>
      <c r="O18" s="141">
        <v>141425.51999999999</v>
      </c>
      <c r="P18" s="146">
        <v>457934.35</v>
      </c>
      <c r="Q18" s="146">
        <v>120449.75999999954</v>
      </c>
    </row>
    <row r="19" spans="1:17" outlineLevel="1" x14ac:dyDescent="0.25">
      <c r="A19" s="138">
        <v>159</v>
      </c>
      <c r="B19" s="126" t="s">
        <v>401</v>
      </c>
      <c r="C19" s="139">
        <v>4816324.6199999964</v>
      </c>
      <c r="D19" s="140">
        <v>1031293.67</v>
      </c>
      <c r="E19" s="141">
        <v>3785030.9499999965</v>
      </c>
      <c r="F19" s="142"/>
      <c r="G19" s="140">
        <v>344581.61</v>
      </c>
      <c r="H19" s="143">
        <v>3440449.3399999966</v>
      </c>
      <c r="I19" s="144">
        <v>0</v>
      </c>
      <c r="J19" s="144">
        <v>-28114.329999999994</v>
      </c>
      <c r="K19" s="144">
        <v>0</v>
      </c>
      <c r="L19" s="145">
        <v>3412335.0099999965</v>
      </c>
      <c r="N19" s="141">
        <v>2625422.6</v>
      </c>
      <c r="O19" s="141">
        <v>171564.7</v>
      </c>
      <c r="P19" s="146">
        <v>2453857.9</v>
      </c>
      <c r="Q19" s="146">
        <v>958477.10999999661</v>
      </c>
    </row>
    <row r="20" spans="1:17" outlineLevel="1" x14ac:dyDescent="0.25">
      <c r="A20" s="138">
        <v>160</v>
      </c>
      <c r="B20" s="126" t="s">
        <v>402</v>
      </c>
      <c r="C20" s="139">
        <v>2476638.3199999989</v>
      </c>
      <c r="D20" s="140">
        <v>408396.41999999981</v>
      </c>
      <c r="E20" s="141">
        <v>2068241.899999999</v>
      </c>
      <c r="F20" s="142"/>
      <c r="G20" s="140">
        <v>444133.76</v>
      </c>
      <c r="H20" s="143">
        <v>1624108.139999999</v>
      </c>
      <c r="I20" s="144">
        <v>-71476.799999999988</v>
      </c>
      <c r="J20" s="144">
        <v>-19274.02</v>
      </c>
      <c r="K20" s="144">
        <v>0</v>
      </c>
      <c r="L20" s="145">
        <v>1533357.3199999989</v>
      </c>
      <c r="N20" s="141">
        <v>1596204.83</v>
      </c>
      <c r="O20" s="141">
        <v>275451.27</v>
      </c>
      <c r="P20" s="146">
        <v>1320753.56</v>
      </c>
      <c r="Q20" s="146">
        <v>284080.55999999889</v>
      </c>
    </row>
    <row r="21" spans="1:17" outlineLevel="1" x14ac:dyDescent="0.25">
      <c r="A21" s="138">
        <v>161</v>
      </c>
      <c r="B21" s="126" t="s">
        <v>403</v>
      </c>
      <c r="C21" s="139">
        <v>3640451.8000000031</v>
      </c>
      <c r="D21" s="140">
        <v>746435.41999999806</v>
      </c>
      <c r="E21" s="141">
        <v>2894016.380000005</v>
      </c>
      <c r="F21" s="142"/>
      <c r="G21" s="140">
        <v>379592.73</v>
      </c>
      <c r="H21" s="143">
        <v>2514423.650000005</v>
      </c>
      <c r="I21" s="144">
        <v>0</v>
      </c>
      <c r="J21" s="144">
        <v>5725.01</v>
      </c>
      <c r="K21" s="144">
        <v>0</v>
      </c>
      <c r="L21" s="145">
        <v>2520148.6600000048</v>
      </c>
      <c r="N21" s="141">
        <v>1925931.13</v>
      </c>
      <c r="O21" s="141">
        <v>371213.18</v>
      </c>
      <c r="P21" s="146">
        <v>1554717.95</v>
      </c>
      <c r="Q21" s="146">
        <v>965430.71000000485</v>
      </c>
    </row>
    <row r="22" spans="1:17" outlineLevel="1" x14ac:dyDescent="0.25">
      <c r="A22" s="138">
        <v>162</v>
      </c>
      <c r="B22" s="126" t="s">
        <v>404</v>
      </c>
      <c r="C22" s="139">
        <v>2733778.0400000005</v>
      </c>
      <c r="D22" s="140">
        <v>890693.81000000029</v>
      </c>
      <c r="E22" s="141">
        <v>1843084.2300000002</v>
      </c>
      <c r="F22" s="142"/>
      <c r="G22" s="140">
        <v>381486.71</v>
      </c>
      <c r="H22" s="143">
        <v>1461597.5200000003</v>
      </c>
      <c r="I22" s="144">
        <v>0</v>
      </c>
      <c r="J22" s="144">
        <v>3447.7500000000005</v>
      </c>
      <c r="K22" s="144">
        <v>0</v>
      </c>
      <c r="L22" s="145">
        <v>1465045.2700000003</v>
      </c>
      <c r="N22" s="141">
        <v>1211350.3500000001</v>
      </c>
      <c r="O22" s="141">
        <v>206102.92</v>
      </c>
      <c r="P22" s="146">
        <v>1005247.43</v>
      </c>
      <c r="Q22" s="146">
        <v>459797.8400000002</v>
      </c>
    </row>
    <row r="23" spans="1:17" outlineLevel="1" x14ac:dyDescent="0.25">
      <c r="A23" s="138">
        <v>163</v>
      </c>
      <c r="B23" s="126" t="s">
        <v>405</v>
      </c>
      <c r="C23" s="139">
        <v>2139649.2099999986</v>
      </c>
      <c r="D23" s="140">
        <v>680372.40000000061</v>
      </c>
      <c r="E23" s="141">
        <v>1459276.809999998</v>
      </c>
      <c r="F23" s="142"/>
      <c r="G23" s="140">
        <v>-145750.66</v>
      </c>
      <c r="H23" s="143">
        <v>1605027.4699999979</v>
      </c>
      <c r="I23" s="144">
        <v>-66964.800000000003</v>
      </c>
      <c r="J23" s="144">
        <v>-25247.069999999996</v>
      </c>
      <c r="K23" s="144">
        <v>0</v>
      </c>
      <c r="L23" s="145">
        <v>1512815.5999999978</v>
      </c>
      <c r="N23" s="141">
        <v>838709.81</v>
      </c>
      <c r="O23" s="141">
        <v>-38578.44</v>
      </c>
      <c r="P23" s="146">
        <v>877288.25</v>
      </c>
      <c r="Q23" s="146">
        <v>702492.14999999781</v>
      </c>
    </row>
    <row r="24" spans="1:17" outlineLevel="1" x14ac:dyDescent="0.25">
      <c r="A24" s="138">
        <v>168</v>
      </c>
      <c r="B24" s="126" t="s">
        <v>406</v>
      </c>
      <c r="C24" s="139">
        <v>2066977.8399999987</v>
      </c>
      <c r="D24" s="140">
        <v>613085.98</v>
      </c>
      <c r="E24" s="141">
        <v>1453891.8599999987</v>
      </c>
      <c r="F24" s="142"/>
      <c r="G24" s="140">
        <v>457522.77</v>
      </c>
      <c r="H24" s="143">
        <v>996369.08999999869</v>
      </c>
      <c r="I24" s="144">
        <v>-64941.090000000011</v>
      </c>
      <c r="J24" s="144">
        <v>-170.78999999999905</v>
      </c>
      <c r="K24" s="144">
        <v>0</v>
      </c>
      <c r="L24" s="145">
        <v>931257.20999999868</v>
      </c>
      <c r="N24" s="141">
        <v>1079287.3799999999</v>
      </c>
      <c r="O24" s="141">
        <v>568471.52</v>
      </c>
      <c r="P24" s="146">
        <v>510815.85999999987</v>
      </c>
      <c r="Q24" s="146">
        <v>485382.43999999878</v>
      </c>
    </row>
    <row r="25" spans="1:17" outlineLevel="1" x14ac:dyDescent="0.25">
      <c r="A25" s="138">
        <v>169</v>
      </c>
      <c r="B25" s="126" t="s">
        <v>407</v>
      </c>
      <c r="C25" s="139">
        <v>1087444.9400000013</v>
      </c>
      <c r="D25" s="140">
        <v>412366.53999999992</v>
      </c>
      <c r="E25" s="141">
        <v>675078.40000000142</v>
      </c>
      <c r="F25" s="142"/>
      <c r="G25" s="140">
        <v>271171.75</v>
      </c>
      <c r="H25" s="143">
        <v>403906.65000000142</v>
      </c>
      <c r="I25" s="144">
        <v>-34147.68</v>
      </c>
      <c r="J25" s="144">
        <v>23455.059999999998</v>
      </c>
      <c r="K25" s="144">
        <v>0</v>
      </c>
      <c r="L25" s="145">
        <v>393214.03000000142</v>
      </c>
      <c r="N25" s="141">
        <v>323703.2</v>
      </c>
      <c r="O25" s="141">
        <v>227103.27</v>
      </c>
      <c r="P25" s="146">
        <v>96599.930000000022</v>
      </c>
      <c r="Q25" s="146">
        <v>330761.78000000142</v>
      </c>
    </row>
    <row r="26" spans="1:17" outlineLevel="1" x14ac:dyDescent="0.25">
      <c r="A26" s="138">
        <v>170</v>
      </c>
      <c r="B26" s="147" t="s">
        <v>408</v>
      </c>
      <c r="C26" s="139">
        <v>1085284.870000001</v>
      </c>
      <c r="D26" s="140">
        <v>417811.22999999981</v>
      </c>
      <c r="E26" s="141">
        <v>667473.64000000129</v>
      </c>
      <c r="F26" s="142"/>
      <c r="G26" s="140">
        <v>352747.66</v>
      </c>
      <c r="H26" s="143">
        <v>314725.98000000132</v>
      </c>
      <c r="I26" s="144">
        <v>-56035</v>
      </c>
      <c r="J26" s="144">
        <v>-17586.25</v>
      </c>
      <c r="K26" s="144">
        <v>0</v>
      </c>
      <c r="L26" s="145">
        <v>241104.73000000132</v>
      </c>
      <c r="N26" s="141">
        <v>513206.1</v>
      </c>
      <c r="O26" s="141">
        <v>254417.3</v>
      </c>
      <c r="P26" s="146">
        <v>258788.8</v>
      </c>
      <c r="Q26" s="146">
        <v>38350.930000001332</v>
      </c>
    </row>
    <row r="27" spans="1:17" outlineLevel="1" x14ac:dyDescent="0.25">
      <c r="A27" s="138">
        <v>171</v>
      </c>
      <c r="B27" s="126" t="s">
        <v>409</v>
      </c>
      <c r="C27" s="139">
        <v>1135459.7499999995</v>
      </c>
      <c r="D27" s="140">
        <v>385030.43000000005</v>
      </c>
      <c r="E27" s="141">
        <v>750429.31999999948</v>
      </c>
      <c r="F27" s="142"/>
      <c r="G27" s="140">
        <v>456383.34</v>
      </c>
      <c r="H27" s="143">
        <v>294045.97999999946</v>
      </c>
      <c r="I27" s="144">
        <v>0</v>
      </c>
      <c r="J27" s="144">
        <v>-14582.23</v>
      </c>
      <c r="K27" s="144">
        <v>0</v>
      </c>
      <c r="L27" s="145">
        <v>279463.74999999948</v>
      </c>
      <c r="N27" s="141">
        <v>582677.86</v>
      </c>
      <c r="O27" s="141">
        <v>379090.22</v>
      </c>
      <c r="P27" s="146">
        <v>203587.64</v>
      </c>
      <c r="Q27" s="146">
        <v>75876.109999999462</v>
      </c>
    </row>
    <row r="28" spans="1:17" outlineLevel="1" x14ac:dyDescent="0.25">
      <c r="A28" s="138">
        <v>174</v>
      </c>
      <c r="B28" s="126" t="s">
        <v>410</v>
      </c>
      <c r="C28" s="139">
        <v>5386910.0099999923</v>
      </c>
      <c r="D28" s="140">
        <v>724961.39999999991</v>
      </c>
      <c r="E28" s="141">
        <v>4661948.609999992</v>
      </c>
      <c r="F28" s="142"/>
      <c r="G28" s="140">
        <v>929743.78</v>
      </c>
      <c r="H28" s="143">
        <v>3732204.8299999917</v>
      </c>
      <c r="I28" s="144">
        <v>467</v>
      </c>
      <c r="J28" s="144">
        <v>-1904.71</v>
      </c>
      <c r="K28" s="144">
        <v>-167262.68</v>
      </c>
      <c r="L28" s="145">
        <v>3563504.4399999916</v>
      </c>
      <c r="N28" s="141">
        <v>2772021.79</v>
      </c>
      <c r="O28" s="141">
        <v>795728.04</v>
      </c>
      <c r="P28" s="146">
        <v>1976293.75</v>
      </c>
      <c r="Q28" s="146">
        <v>1586743.6899999916</v>
      </c>
    </row>
    <row r="29" spans="1:17" outlineLevel="1" x14ac:dyDescent="0.25">
      <c r="A29" s="138">
        <v>179</v>
      </c>
      <c r="B29" s="126" t="s">
        <v>411</v>
      </c>
      <c r="C29" s="139">
        <v>3289692.2899999968</v>
      </c>
      <c r="D29" s="140">
        <v>1047666.6800000004</v>
      </c>
      <c r="E29" s="141">
        <v>2242025.6099999966</v>
      </c>
      <c r="F29" s="142"/>
      <c r="G29" s="140">
        <v>493494.94</v>
      </c>
      <c r="H29" s="143">
        <v>1748530.6699999967</v>
      </c>
      <c r="I29" s="144">
        <v>-121280.44</v>
      </c>
      <c r="J29" s="144">
        <v>-14164.619999999999</v>
      </c>
      <c r="K29" s="144">
        <v>0</v>
      </c>
      <c r="L29" s="145">
        <v>1613085.6099999966</v>
      </c>
      <c r="N29" s="141">
        <v>1005180.7</v>
      </c>
      <c r="O29" s="141">
        <v>412330.98</v>
      </c>
      <c r="P29" s="146">
        <v>592849.72</v>
      </c>
      <c r="Q29" s="146">
        <v>1141516.3299999966</v>
      </c>
    </row>
    <row r="30" spans="1:17" outlineLevel="1" x14ac:dyDescent="0.25">
      <c r="A30" s="138">
        <v>180</v>
      </c>
      <c r="B30" s="126" t="s">
        <v>412</v>
      </c>
      <c r="C30" s="139">
        <v>2888139.6399999983</v>
      </c>
      <c r="D30" s="140">
        <v>717511.15</v>
      </c>
      <c r="E30" s="141">
        <v>2170628.4899999984</v>
      </c>
      <c r="F30" s="142"/>
      <c r="G30" s="140">
        <v>447855.34</v>
      </c>
      <c r="H30" s="143">
        <v>1722773.1499999983</v>
      </c>
      <c r="I30" s="144">
        <v>0</v>
      </c>
      <c r="J30" s="144">
        <v>19912.509999999995</v>
      </c>
      <c r="K30" s="144">
        <v>0</v>
      </c>
      <c r="L30" s="145">
        <v>1742685.6599999983</v>
      </c>
      <c r="N30" s="141">
        <v>1416847.79</v>
      </c>
      <c r="O30" s="141">
        <v>325596.05</v>
      </c>
      <c r="P30" s="146">
        <v>1091251.74</v>
      </c>
      <c r="Q30" s="146">
        <v>651433.9199999983</v>
      </c>
    </row>
    <row r="31" spans="1:17" outlineLevel="1" x14ac:dyDescent="0.25">
      <c r="A31" s="138">
        <v>181</v>
      </c>
      <c r="B31" s="126" t="s">
        <v>413</v>
      </c>
      <c r="C31" s="139">
        <v>1463886.450000002</v>
      </c>
      <c r="D31" s="140">
        <v>0</v>
      </c>
      <c r="E31" s="141">
        <v>1463886.450000002</v>
      </c>
      <c r="F31" s="142"/>
      <c r="G31" s="140">
        <v>493144.03</v>
      </c>
      <c r="H31" s="143">
        <v>970742.42000000202</v>
      </c>
      <c r="I31" s="144">
        <v>-191851.83000000005</v>
      </c>
      <c r="J31" s="144">
        <v>-52744.920000000006</v>
      </c>
      <c r="K31" s="144">
        <v>0</v>
      </c>
      <c r="L31" s="145">
        <v>726145.6700000019</v>
      </c>
      <c r="N31" s="141">
        <v>892305.94</v>
      </c>
      <c r="O31" s="141">
        <v>408687.48</v>
      </c>
      <c r="P31" s="146">
        <v>483618.45999999996</v>
      </c>
      <c r="Q31" s="146">
        <v>434379.04000000202</v>
      </c>
    </row>
    <row r="32" spans="1:17" outlineLevel="1" x14ac:dyDescent="0.25">
      <c r="A32" s="138">
        <v>182</v>
      </c>
      <c r="B32" s="126" t="s">
        <v>414</v>
      </c>
      <c r="C32" s="139">
        <v>887567.3600000001</v>
      </c>
      <c r="D32" s="140">
        <v>0</v>
      </c>
      <c r="E32" s="141">
        <v>887567.3600000001</v>
      </c>
      <c r="F32" s="142"/>
      <c r="G32" s="140">
        <v>276997.96000000002</v>
      </c>
      <c r="H32" s="143">
        <v>610569.40000000014</v>
      </c>
      <c r="I32" s="144">
        <v>0</v>
      </c>
      <c r="J32" s="144">
        <v>-24718.070000000003</v>
      </c>
      <c r="K32" s="144">
        <v>0</v>
      </c>
      <c r="L32" s="145">
        <v>585851.33000000019</v>
      </c>
      <c r="N32" s="141">
        <v>466863.49</v>
      </c>
      <c r="O32" s="141">
        <v>226133.29</v>
      </c>
      <c r="P32" s="146">
        <v>240730.19999999998</v>
      </c>
      <c r="Q32" s="146">
        <v>345121.13000000024</v>
      </c>
    </row>
    <row r="33" spans="1:17" outlineLevel="1" x14ac:dyDescent="0.25">
      <c r="A33" s="138">
        <v>190</v>
      </c>
      <c r="B33" s="126" t="s">
        <v>415</v>
      </c>
      <c r="C33" s="139">
        <v>1501610.830000001</v>
      </c>
      <c r="D33" s="140">
        <v>661151.12999999954</v>
      </c>
      <c r="E33" s="141">
        <v>840459.70000000147</v>
      </c>
      <c r="F33" s="142"/>
      <c r="G33" s="140">
        <v>375265.87</v>
      </c>
      <c r="H33" s="143">
        <v>465193.83000000147</v>
      </c>
      <c r="I33" s="144">
        <v>-23465.360000000001</v>
      </c>
      <c r="J33" s="144">
        <v>-4040.9099999999985</v>
      </c>
      <c r="K33" s="144">
        <v>0</v>
      </c>
      <c r="L33" s="145">
        <v>437687.56000000151</v>
      </c>
      <c r="N33" s="141">
        <v>561171.52</v>
      </c>
      <c r="O33" s="141">
        <v>288422.71000000002</v>
      </c>
      <c r="P33" s="146">
        <v>272748.81</v>
      </c>
      <c r="Q33" s="146">
        <v>188404.1100000015</v>
      </c>
    </row>
    <row r="34" spans="1:17" outlineLevel="1" x14ac:dyDescent="0.25">
      <c r="A34" s="138">
        <v>191</v>
      </c>
      <c r="B34" s="126" t="s">
        <v>416</v>
      </c>
      <c r="C34" s="139">
        <v>1337058.27</v>
      </c>
      <c r="D34" s="140">
        <v>384515.07999999967</v>
      </c>
      <c r="E34" s="141">
        <v>952543.19000000041</v>
      </c>
      <c r="F34" s="142"/>
      <c r="G34" s="140">
        <v>303148.08</v>
      </c>
      <c r="H34" s="143">
        <v>649395.11000000034</v>
      </c>
      <c r="I34" s="144">
        <v>-54400.799999999996</v>
      </c>
      <c r="J34" s="144">
        <v>-40031.580000000009</v>
      </c>
      <c r="K34" s="144">
        <v>0</v>
      </c>
      <c r="L34" s="145">
        <v>554962.73000000033</v>
      </c>
      <c r="N34" s="141">
        <v>651970.51</v>
      </c>
      <c r="O34" s="141">
        <v>238045.8</v>
      </c>
      <c r="P34" s="146">
        <v>413924.71</v>
      </c>
      <c r="Q34" s="146">
        <v>195438.82000000036</v>
      </c>
    </row>
    <row r="35" spans="1:17" outlineLevel="1" x14ac:dyDescent="0.25">
      <c r="A35" s="138">
        <v>193</v>
      </c>
      <c r="B35" s="126" t="s">
        <v>417</v>
      </c>
      <c r="C35" s="139">
        <v>1702611.2399999993</v>
      </c>
      <c r="D35" s="140">
        <v>2097159.0600000005</v>
      </c>
      <c r="E35" s="141">
        <v>-394547.82000000123</v>
      </c>
      <c r="F35" s="142"/>
      <c r="G35" s="140">
        <v>338488.79</v>
      </c>
      <c r="H35" s="143">
        <v>-733036.61000000127</v>
      </c>
      <c r="I35" s="144">
        <v>0</v>
      </c>
      <c r="J35" s="144">
        <v>-13836.609999999999</v>
      </c>
      <c r="K35" s="144">
        <v>0</v>
      </c>
      <c r="L35" s="148">
        <v>-1.280568540096283E-9</v>
      </c>
      <c r="N35" s="141">
        <v>180677.22</v>
      </c>
      <c r="O35" s="141">
        <v>180625.48</v>
      </c>
      <c r="P35" s="146">
        <v>51.739999999990687</v>
      </c>
      <c r="Q35" s="146">
        <v>-746924.96000000124</v>
      </c>
    </row>
    <row r="36" spans="1:17" outlineLevel="1" x14ac:dyDescent="0.25">
      <c r="A36" s="138">
        <v>194</v>
      </c>
      <c r="B36" s="126" t="s">
        <v>418</v>
      </c>
      <c r="C36" s="139">
        <v>1442635.7</v>
      </c>
      <c r="D36" s="140">
        <v>930828.18000000052</v>
      </c>
      <c r="E36" s="141">
        <v>511807.51999999944</v>
      </c>
      <c r="F36" s="142"/>
      <c r="G36" s="140">
        <v>366957.92</v>
      </c>
      <c r="H36" s="143">
        <v>144849.59999999945</v>
      </c>
      <c r="I36" s="144">
        <v>0</v>
      </c>
      <c r="J36" s="144">
        <v>1676.93</v>
      </c>
      <c r="K36" s="144">
        <v>0</v>
      </c>
      <c r="L36" s="145">
        <v>146526.52999999945</v>
      </c>
      <c r="N36" s="141">
        <v>101888.41</v>
      </c>
      <c r="O36" s="141">
        <v>175194.34</v>
      </c>
      <c r="P36" s="146">
        <v>-73305.929999999993</v>
      </c>
      <c r="Q36" s="146">
        <v>219832.45999999944</v>
      </c>
    </row>
    <row r="37" spans="1:17" outlineLevel="1" x14ac:dyDescent="0.25">
      <c r="A37" s="138">
        <v>195</v>
      </c>
      <c r="B37" s="126" t="s">
        <v>419</v>
      </c>
      <c r="C37" s="139">
        <v>815553.2100000002</v>
      </c>
      <c r="D37" s="140">
        <v>512427.78999999975</v>
      </c>
      <c r="E37" s="141">
        <v>303125.42000000045</v>
      </c>
      <c r="F37" s="142"/>
      <c r="G37" s="140">
        <v>172616.1</v>
      </c>
      <c r="H37" s="143">
        <v>130509.32000000044</v>
      </c>
      <c r="I37" s="144">
        <v>0</v>
      </c>
      <c r="J37" s="144">
        <v>0</v>
      </c>
      <c r="K37" s="144">
        <v>0</v>
      </c>
      <c r="L37" s="145">
        <v>130509.32000000044</v>
      </c>
      <c r="N37" s="141">
        <v>48476.5</v>
      </c>
      <c r="O37" s="141">
        <v>84659.89</v>
      </c>
      <c r="P37" s="146">
        <v>-36183.39</v>
      </c>
      <c r="Q37" s="146">
        <v>166692.71000000043</v>
      </c>
    </row>
    <row r="38" spans="1:17" outlineLevel="1" x14ac:dyDescent="0.25">
      <c r="A38" s="138">
        <v>196</v>
      </c>
      <c r="B38" s="126" t="s">
        <v>420</v>
      </c>
      <c r="C38" s="139">
        <v>1316901.1099999987</v>
      </c>
      <c r="D38" s="140">
        <v>911398.52999999933</v>
      </c>
      <c r="E38" s="141">
        <v>405502.57999999938</v>
      </c>
      <c r="F38" s="142"/>
      <c r="G38" s="140">
        <v>312952.69</v>
      </c>
      <c r="H38" s="143">
        <v>92549.889999999374</v>
      </c>
      <c r="I38" s="144">
        <v>0</v>
      </c>
      <c r="J38" s="144">
        <v>-477.28</v>
      </c>
      <c r="K38" s="144">
        <v>0</v>
      </c>
      <c r="L38" s="145">
        <v>92072.609999999375</v>
      </c>
      <c r="N38" s="141">
        <v>145832.82999999999</v>
      </c>
      <c r="O38" s="141">
        <v>147673.70000000001</v>
      </c>
      <c r="P38" s="146">
        <v>-1840.8700000000244</v>
      </c>
      <c r="Q38" s="146">
        <v>93913.479999999399</v>
      </c>
    </row>
    <row r="39" spans="1:17" outlineLevel="1" x14ac:dyDescent="0.25">
      <c r="A39" s="138">
        <v>198</v>
      </c>
      <c r="B39" s="147" t="s">
        <v>421</v>
      </c>
      <c r="C39" s="139">
        <v>1723782.7600000005</v>
      </c>
      <c r="D39" s="140">
        <v>910014.51999999932</v>
      </c>
      <c r="E39" s="141">
        <v>813768.24000000115</v>
      </c>
      <c r="F39" s="142"/>
      <c r="G39" s="140">
        <v>329802.57</v>
      </c>
      <c r="H39" s="143">
        <v>483965.67000000115</v>
      </c>
      <c r="I39" s="144">
        <v>0</v>
      </c>
      <c r="J39" s="144">
        <v>-18352.07</v>
      </c>
      <c r="K39" s="144">
        <v>0</v>
      </c>
      <c r="L39" s="145">
        <v>465613.60000000114</v>
      </c>
      <c r="N39" s="141">
        <v>219387.99</v>
      </c>
      <c r="O39" s="141">
        <v>134329.5</v>
      </c>
      <c r="P39" s="146">
        <v>85058.489999999991</v>
      </c>
      <c r="Q39" s="146">
        <v>380555.11000000115</v>
      </c>
    </row>
    <row r="40" spans="1:17" outlineLevel="1" x14ac:dyDescent="0.25">
      <c r="A40" s="138">
        <v>199</v>
      </c>
      <c r="B40" s="147" t="s">
        <v>422</v>
      </c>
      <c r="C40" s="139">
        <v>1461440.3600000008</v>
      </c>
      <c r="D40" s="140">
        <v>1146970.8200000005</v>
      </c>
      <c r="E40" s="141">
        <v>314469.54000000027</v>
      </c>
      <c r="F40" s="142"/>
      <c r="G40" s="140">
        <v>425138.97</v>
      </c>
      <c r="H40" s="143">
        <v>-110669.4299999997</v>
      </c>
      <c r="I40" s="144">
        <v>0</v>
      </c>
      <c r="J40" s="144">
        <v>-2324.4</v>
      </c>
      <c r="K40" s="144">
        <v>0</v>
      </c>
      <c r="L40" s="145">
        <v>-112993.8299999997</v>
      </c>
      <c r="N40" s="141">
        <v>126191.84</v>
      </c>
      <c r="O40" s="141">
        <v>224262.6</v>
      </c>
      <c r="P40" s="146">
        <v>-98070.760000000009</v>
      </c>
      <c r="Q40" s="146">
        <v>-14923.069999999687</v>
      </c>
    </row>
    <row r="41" spans="1:17" outlineLevel="1" x14ac:dyDescent="0.25">
      <c r="A41" s="138">
        <v>200</v>
      </c>
      <c r="B41" s="126" t="s">
        <v>423</v>
      </c>
      <c r="C41" s="139">
        <v>1934924.0699999996</v>
      </c>
      <c r="D41" s="140">
        <v>1209858.6100000001</v>
      </c>
      <c r="E41" s="141">
        <v>725065.4599999995</v>
      </c>
      <c r="F41" s="142"/>
      <c r="G41" s="140">
        <v>366251.15</v>
      </c>
      <c r="H41" s="143">
        <v>358814.30999999947</v>
      </c>
      <c r="I41" s="144">
        <v>0</v>
      </c>
      <c r="J41" s="144">
        <v>488.59</v>
      </c>
      <c r="K41" s="144">
        <v>0</v>
      </c>
      <c r="L41" s="145">
        <v>359302.8999999995</v>
      </c>
      <c r="N41" s="141">
        <v>349871.98</v>
      </c>
      <c r="O41" s="141">
        <v>195057.85</v>
      </c>
      <c r="P41" s="146">
        <v>154814.12999999998</v>
      </c>
      <c r="Q41" s="146">
        <v>204488.76999999952</v>
      </c>
    </row>
    <row r="42" spans="1:17" outlineLevel="1" x14ac:dyDescent="0.25">
      <c r="A42" s="138">
        <v>201</v>
      </c>
      <c r="B42" s="126" t="s">
        <v>424</v>
      </c>
      <c r="C42" s="139">
        <v>787230.67999999959</v>
      </c>
      <c r="D42" s="140">
        <v>595170.79999999946</v>
      </c>
      <c r="E42" s="141">
        <v>192059.88000000012</v>
      </c>
      <c r="F42" s="142"/>
      <c r="G42" s="140">
        <v>255658.91</v>
      </c>
      <c r="H42" s="143">
        <v>-63599.029999999882</v>
      </c>
      <c r="I42" s="144">
        <v>0</v>
      </c>
      <c r="J42" s="144">
        <v>-31306.34</v>
      </c>
      <c r="K42" s="144">
        <v>0</v>
      </c>
      <c r="L42" s="145">
        <v>-94905.369999999879</v>
      </c>
      <c r="N42" s="141">
        <v>55849.56</v>
      </c>
      <c r="O42" s="141">
        <v>141237.96</v>
      </c>
      <c r="P42" s="146">
        <v>-85388.4</v>
      </c>
      <c r="Q42" s="146">
        <v>-9516.9699999998847</v>
      </c>
    </row>
    <row r="43" spans="1:17" outlineLevel="1" x14ac:dyDescent="0.25">
      <c r="A43" s="138">
        <v>302</v>
      </c>
      <c r="B43" s="147" t="s">
        <v>425</v>
      </c>
      <c r="C43" s="139">
        <v>389963.79</v>
      </c>
      <c r="D43" s="140">
        <v>58132.599999999991</v>
      </c>
      <c r="E43" s="141">
        <v>331831.19</v>
      </c>
      <c r="F43" s="142"/>
      <c r="G43" s="140">
        <v>62991.82</v>
      </c>
      <c r="H43" s="143">
        <v>268839.37</v>
      </c>
      <c r="I43" s="144">
        <v>0</v>
      </c>
      <c r="J43" s="144">
        <v>-5459.42</v>
      </c>
      <c r="K43" s="144">
        <v>0</v>
      </c>
      <c r="L43" s="145">
        <v>263379.95</v>
      </c>
      <c r="N43" s="141">
        <v>199200.25</v>
      </c>
      <c r="O43" s="141">
        <v>29354</v>
      </c>
      <c r="P43" s="146">
        <v>169846.25</v>
      </c>
      <c r="Q43" s="146">
        <v>93533.700000000012</v>
      </c>
    </row>
    <row r="44" spans="1:17" outlineLevel="1" x14ac:dyDescent="0.25">
      <c r="A44" s="138">
        <v>309</v>
      </c>
      <c r="B44" s="126" t="s">
        <v>426</v>
      </c>
      <c r="C44" s="139">
        <v>43349.15</v>
      </c>
      <c r="D44" s="140">
        <v>19046.009999999998</v>
      </c>
      <c r="E44" s="141">
        <v>24303.140000000003</v>
      </c>
      <c r="F44" s="142"/>
      <c r="G44" s="140">
        <v>67207.3</v>
      </c>
      <c r="H44" s="143">
        <v>-42904.160000000003</v>
      </c>
      <c r="I44" s="144">
        <v>0</v>
      </c>
      <c r="J44" s="144">
        <v>-11227.36</v>
      </c>
      <c r="K44" s="144">
        <v>0</v>
      </c>
      <c r="L44" s="145">
        <v>-54131.520000000004</v>
      </c>
      <c r="N44" s="141">
        <v>17188.48</v>
      </c>
      <c r="O44" s="141">
        <v>34022.82</v>
      </c>
      <c r="P44" s="146">
        <v>-16834.34</v>
      </c>
      <c r="Q44" s="146">
        <v>-37297.180000000008</v>
      </c>
    </row>
    <row r="45" spans="1:17" outlineLevel="1" x14ac:dyDescent="0.25">
      <c r="A45" s="138">
        <v>310</v>
      </c>
      <c r="B45" s="147" t="s">
        <v>427</v>
      </c>
      <c r="C45" s="139">
        <v>5474.800000000002</v>
      </c>
      <c r="D45" s="140">
        <v>1512.8</v>
      </c>
      <c r="E45" s="141">
        <v>3962.0000000000018</v>
      </c>
      <c r="F45" s="142"/>
      <c r="G45" s="140">
        <v>34535.61</v>
      </c>
      <c r="H45" s="143">
        <v>-30573.61</v>
      </c>
      <c r="I45" s="144">
        <v>0</v>
      </c>
      <c r="J45" s="144">
        <v>0</v>
      </c>
      <c r="K45" s="144">
        <v>0</v>
      </c>
      <c r="L45" s="145">
        <v>-30573.61</v>
      </c>
      <c r="N45" s="141">
        <v>-245.95</v>
      </c>
      <c r="O45" s="141">
        <v>21048.57</v>
      </c>
      <c r="P45" s="146">
        <v>-21294.52</v>
      </c>
      <c r="Q45" s="146">
        <v>-9279.09</v>
      </c>
    </row>
    <row r="46" spans="1:17" outlineLevel="1" x14ac:dyDescent="0.25">
      <c r="A46" s="126"/>
      <c r="B46" s="149"/>
      <c r="C46" s="139"/>
      <c r="D46" s="140"/>
      <c r="E46" s="141"/>
      <c r="F46" s="142"/>
      <c r="G46" s="140"/>
      <c r="H46" s="143"/>
      <c r="I46" s="144"/>
      <c r="J46" s="144"/>
      <c r="K46" s="144"/>
      <c r="L46" s="145">
        <v>0</v>
      </c>
      <c r="N46" s="141"/>
      <c r="O46" s="141"/>
      <c r="P46" s="146"/>
      <c r="Q46" s="146"/>
    </row>
    <row r="47" spans="1:17" x14ac:dyDescent="0.25">
      <c r="A47" s="150" t="s">
        <v>428</v>
      </c>
      <c r="B47" s="151"/>
      <c r="C47" s="152">
        <v>73463431.99000001</v>
      </c>
      <c r="D47" s="152">
        <v>25624307.920000002</v>
      </c>
      <c r="E47" s="152">
        <v>47839124.069999985</v>
      </c>
      <c r="F47" s="153"/>
      <c r="G47" s="152">
        <v>11449736.970000001</v>
      </c>
      <c r="H47" s="152">
        <v>36389387.100000001</v>
      </c>
      <c r="I47" s="152">
        <v>-1076728.6500000001</v>
      </c>
      <c r="J47" s="152">
        <v>-446795.49</v>
      </c>
      <c r="K47" s="152">
        <v>-303774.94</v>
      </c>
      <c r="L47" s="152">
        <v>35308961.239999987</v>
      </c>
      <c r="N47" s="152">
        <v>29524580.199999992</v>
      </c>
      <c r="O47" s="152">
        <v>8710853.3000000007</v>
      </c>
      <c r="P47" s="152">
        <v>20813726.899999991</v>
      </c>
      <c r="Q47" s="152">
        <v>14825089.769999988</v>
      </c>
    </row>
    <row r="48" spans="1:17" x14ac:dyDescent="0.25">
      <c r="C48" s="141"/>
      <c r="D48" s="141"/>
      <c r="E48" s="141"/>
      <c r="F48" s="142"/>
      <c r="G48" s="141"/>
      <c r="H48" s="141"/>
      <c r="I48" s="141"/>
      <c r="J48" s="141"/>
      <c r="K48" s="141"/>
      <c r="L48" s="154"/>
    </row>
    <row r="49" spans="3:12" x14ac:dyDescent="0.25">
      <c r="C49" s="141"/>
      <c r="D49" s="155"/>
      <c r="E49" s="140"/>
      <c r="F49" s="156"/>
      <c r="G49" s="141"/>
      <c r="H49" s="141"/>
      <c r="I49" s="141"/>
      <c r="J49" s="141"/>
      <c r="K49" s="141"/>
      <c r="L49" s="154"/>
    </row>
  </sheetData>
  <mergeCells count="1">
    <mergeCell ref="D4:D5"/>
  </mergeCells>
  <pageMargins left="0.7" right="0.7" top="0.75" bottom="0.75" header="0.3" footer="0.3"/>
  <customProperties>
    <customPr name="EpmWorksheetKeyString_GUID" r:id="rId1"/>
  </customProperties>
  <drawing r:id="rId2"/>
  <legacyDrawing r:id="rId3"/>
  <controls>
    <mc:AlternateContent xmlns:mc="http://schemas.openxmlformats.org/markup-compatibility/2006">
      <mc:Choice Requires="x14">
        <control shapeId="5121" r:id="rId4" name="FPMExcelClientSheetOptionstb1">
          <controlPr defaultSize="0" autoLine="0" autoPict="0" r:id="rId5">
            <anchor moveWithCells="1" sizeWithCells="1">
              <from>
                <xdr:col>0</xdr:col>
                <xdr:colOff>0</xdr:colOff>
                <xdr:row>0</xdr:row>
                <xdr:rowOff>0</xdr:rowOff>
              </from>
              <to>
                <xdr:col>0</xdr:col>
                <xdr:colOff>914400</xdr:colOff>
                <xdr:row>0</xdr:row>
                <xdr:rowOff>0</xdr:rowOff>
              </to>
            </anchor>
          </controlPr>
        </control>
      </mc:Choice>
      <mc:Fallback>
        <control shapeId="5121" r:id="rId4" name="FPMExcelClientSheetOptionstb1"/>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3:N22"/>
  <sheetViews>
    <sheetView topLeftCell="A4" workbookViewId="0">
      <selection activeCell="J18" sqref="J18"/>
    </sheetView>
  </sheetViews>
  <sheetFormatPr defaultRowHeight="15" x14ac:dyDescent="0.25"/>
  <cols>
    <col min="1" max="1" width="13.140625" bestFit="1" customWidth="1"/>
    <col min="2" max="2" width="42.42578125" bestFit="1" customWidth="1"/>
    <col min="3" max="3" width="9" bestFit="1" customWidth="1"/>
    <col min="4" max="4" width="8.5703125" bestFit="1" customWidth="1"/>
    <col min="5" max="5" width="9.28515625" bestFit="1" customWidth="1"/>
    <col min="6" max="6" width="8.42578125" bestFit="1" customWidth="1"/>
    <col min="7" max="7" width="7.85546875" bestFit="1" customWidth="1"/>
    <col min="8" max="8" width="8.85546875" bestFit="1" customWidth="1"/>
    <col min="9" max="9" width="8.7109375" bestFit="1" customWidth="1"/>
    <col min="10" max="10" width="8.42578125" bestFit="1" customWidth="1"/>
    <col min="11" max="11" width="9" bestFit="1" customWidth="1"/>
    <col min="12" max="12" width="8.7109375" bestFit="1" customWidth="1"/>
    <col min="13" max="13" width="8.28515625" bestFit="1" customWidth="1"/>
  </cols>
  <sheetData>
    <row r="3" spans="1:14" x14ac:dyDescent="0.25">
      <c r="A3" s="196" t="s">
        <v>1399</v>
      </c>
    </row>
    <row r="6" spans="1:14" x14ac:dyDescent="0.25">
      <c r="B6" s="200" t="s">
        <v>1410</v>
      </c>
      <c r="C6" s="200" t="s">
        <v>1400</v>
      </c>
      <c r="D6" s="200" t="s">
        <v>1401</v>
      </c>
      <c r="E6" s="200" t="s">
        <v>1402</v>
      </c>
      <c r="F6" s="200" t="s">
        <v>1403</v>
      </c>
      <c r="G6" s="200" t="s">
        <v>1404</v>
      </c>
      <c r="H6" s="200" t="s">
        <v>1405</v>
      </c>
      <c r="I6" s="200" t="s">
        <v>1406</v>
      </c>
      <c r="J6" s="200" t="s">
        <v>1407</v>
      </c>
      <c r="K6" s="200" t="s">
        <v>1408</v>
      </c>
      <c r="L6" s="200" t="s">
        <v>1409</v>
      </c>
      <c r="M6" s="222">
        <v>43862</v>
      </c>
      <c r="N6" s="222">
        <v>43891</v>
      </c>
    </row>
    <row r="7" spans="1:14" x14ac:dyDescent="0.25">
      <c r="B7" s="202" t="s">
        <v>510</v>
      </c>
      <c r="C7" s="204">
        <v>80</v>
      </c>
      <c r="D7" s="212">
        <v>80</v>
      </c>
      <c r="E7" s="204">
        <v>80</v>
      </c>
      <c r="F7" s="212">
        <v>80</v>
      </c>
      <c r="G7" s="204">
        <v>51</v>
      </c>
      <c r="H7" s="212">
        <v>51</v>
      </c>
      <c r="I7" s="204">
        <v>51</v>
      </c>
      <c r="J7" s="212">
        <v>51</v>
      </c>
      <c r="K7" s="204">
        <v>51</v>
      </c>
      <c r="L7" s="212">
        <v>51</v>
      </c>
      <c r="M7" s="114">
        <v>51</v>
      </c>
      <c r="N7" s="223">
        <v>51</v>
      </c>
    </row>
    <row r="8" spans="1:14" x14ac:dyDescent="0.25">
      <c r="B8" s="217" t="s">
        <v>1412</v>
      </c>
      <c r="C8" s="197"/>
      <c r="D8" s="213">
        <f t="shared" ref="D8:N8" si="0">C7-D7</f>
        <v>0</v>
      </c>
      <c r="E8" s="197">
        <f t="shared" si="0"/>
        <v>0</v>
      </c>
      <c r="F8" s="213">
        <f t="shared" si="0"/>
        <v>0</v>
      </c>
      <c r="G8" s="205">
        <f t="shared" si="0"/>
        <v>29</v>
      </c>
      <c r="H8" s="213">
        <f t="shared" si="0"/>
        <v>0</v>
      </c>
      <c r="I8" s="197">
        <f t="shared" si="0"/>
        <v>0</v>
      </c>
      <c r="J8" s="213">
        <f t="shared" si="0"/>
        <v>0</v>
      </c>
      <c r="K8" s="197">
        <f t="shared" si="0"/>
        <v>0</v>
      </c>
      <c r="L8" s="213">
        <f t="shared" si="0"/>
        <v>0</v>
      </c>
      <c r="M8" s="207">
        <f t="shared" si="0"/>
        <v>0</v>
      </c>
      <c r="N8" s="207">
        <f t="shared" si="0"/>
        <v>0</v>
      </c>
    </row>
    <row r="9" spans="1:14" x14ac:dyDescent="0.25">
      <c r="B9" s="203"/>
      <c r="C9" s="197"/>
      <c r="D9" s="213"/>
      <c r="E9" s="197"/>
      <c r="F9" s="213"/>
      <c r="G9" s="197"/>
      <c r="H9" s="213"/>
      <c r="I9" s="197"/>
      <c r="J9" s="213"/>
      <c r="K9" s="197"/>
      <c r="L9" s="213"/>
      <c r="M9" s="114"/>
      <c r="N9" s="79"/>
    </row>
    <row r="10" spans="1:14" x14ac:dyDescent="0.25">
      <c r="B10" s="202" t="s">
        <v>511</v>
      </c>
      <c r="C10" s="204">
        <v>146</v>
      </c>
      <c r="D10" s="212">
        <v>146</v>
      </c>
      <c r="E10" s="204">
        <v>146</v>
      </c>
      <c r="F10" s="212">
        <v>146</v>
      </c>
      <c r="G10" s="204">
        <v>146</v>
      </c>
      <c r="H10" s="212">
        <v>146</v>
      </c>
      <c r="I10" s="204">
        <v>146</v>
      </c>
      <c r="J10" s="212">
        <v>146</v>
      </c>
      <c r="K10" s="204">
        <v>146</v>
      </c>
      <c r="L10" s="212">
        <v>146</v>
      </c>
      <c r="M10" s="114">
        <v>155</v>
      </c>
      <c r="N10" s="212">
        <v>155</v>
      </c>
    </row>
    <row r="11" spans="1:14" x14ac:dyDescent="0.25">
      <c r="B11" s="217" t="s">
        <v>1412</v>
      </c>
      <c r="C11" s="197"/>
      <c r="D11" s="213">
        <f t="shared" ref="D11" si="1">C10-D10</f>
        <v>0</v>
      </c>
      <c r="E11" s="197">
        <f t="shared" ref="E11" si="2">D10-E10</f>
        <v>0</v>
      </c>
      <c r="F11" s="213">
        <f t="shared" ref="F11" si="3">E10-F10</f>
        <v>0</v>
      </c>
      <c r="G11" s="197">
        <f t="shared" ref="G11" si="4">F10-G10</f>
        <v>0</v>
      </c>
      <c r="H11" s="213">
        <f t="shared" ref="H11" si="5">G10-H10</f>
        <v>0</v>
      </c>
      <c r="I11" s="197">
        <f t="shared" ref="I11" si="6">H10-I10</f>
        <v>0</v>
      </c>
      <c r="J11" s="213">
        <f t="shared" ref="J11" si="7">I10-J10</f>
        <v>0</v>
      </c>
      <c r="K11" s="197">
        <f t="shared" ref="K11" si="8">J10-K10</f>
        <v>0</v>
      </c>
      <c r="L11" s="213">
        <f t="shared" ref="L11" si="9">K10-L10</f>
        <v>0</v>
      </c>
      <c r="M11" s="208">
        <f t="shared" ref="M11:N11" si="10">L10-M10</f>
        <v>-9</v>
      </c>
      <c r="N11" s="207">
        <f t="shared" si="10"/>
        <v>0</v>
      </c>
    </row>
    <row r="12" spans="1:14" x14ac:dyDescent="0.25">
      <c r="B12" s="203"/>
      <c r="C12" s="197"/>
      <c r="D12" s="213"/>
      <c r="E12" s="197"/>
      <c r="F12" s="213"/>
      <c r="G12" s="197"/>
      <c r="H12" s="213"/>
      <c r="I12" s="197"/>
      <c r="J12" s="213"/>
      <c r="K12" s="197"/>
      <c r="L12" s="213"/>
      <c r="M12" s="114"/>
      <c r="N12" s="212"/>
    </row>
    <row r="13" spans="1:14" x14ac:dyDescent="0.25">
      <c r="B13" s="202" t="s">
        <v>515</v>
      </c>
      <c r="C13" s="206">
        <v>90</v>
      </c>
      <c r="D13" s="214">
        <v>90</v>
      </c>
      <c r="E13" s="206">
        <v>90</v>
      </c>
      <c r="F13" s="214">
        <v>90</v>
      </c>
      <c r="G13" s="206">
        <v>90</v>
      </c>
      <c r="H13" s="214">
        <v>90</v>
      </c>
      <c r="I13" s="206">
        <v>90</v>
      </c>
      <c r="J13" s="214">
        <v>90</v>
      </c>
      <c r="K13" s="206">
        <v>90</v>
      </c>
      <c r="L13" s="214">
        <v>90</v>
      </c>
      <c r="M13" s="201">
        <v>82</v>
      </c>
      <c r="N13" s="214">
        <v>82</v>
      </c>
    </row>
    <row r="14" spans="1:14" x14ac:dyDescent="0.25">
      <c r="B14" s="217" t="s">
        <v>1412</v>
      </c>
      <c r="C14" s="197"/>
      <c r="D14" s="213">
        <f t="shared" ref="D14" si="11">C13-D13</f>
        <v>0</v>
      </c>
      <c r="E14" s="197">
        <f t="shared" ref="E14" si="12">D13-E13</f>
        <v>0</v>
      </c>
      <c r="F14" s="213">
        <f t="shared" ref="F14" si="13">E13-F13</f>
        <v>0</v>
      </c>
      <c r="G14" s="197">
        <f t="shared" ref="G14" si="14">F13-G13</f>
        <v>0</v>
      </c>
      <c r="H14" s="213">
        <f t="shared" ref="H14" si="15">G13-H13</f>
        <v>0</v>
      </c>
      <c r="I14" s="197">
        <f t="shared" ref="I14" si="16">H13-I13</f>
        <v>0</v>
      </c>
      <c r="J14" s="213">
        <f t="shared" ref="J14" si="17">I13-J13</f>
        <v>0</v>
      </c>
      <c r="K14" s="197">
        <f t="shared" ref="K14" si="18">J13-K13</f>
        <v>0</v>
      </c>
      <c r="L14" s="213">
        <f t="shared" ref="L14" si="19">K13-L13</f>
        <v>0</v>
      </c>
      <c r="M14" s="208">
        <f t="shared" ref="M14:N14" si="20">L13-M13</f>
        <v>8</v>
      </c>
      <c r="N14" s="207">
        <f t="shared" si="20"/>
        <v>0</v>
      </c>
    </row>
    <row r="15" spans="1:14" x14ac:dyDescent="0.25">
      <c r="B15" s="203"/>
      <c r="C15" s="197"/>
      <c r="D15" s="213"/>
      <c r="E15" s="197"/>
      <c r="F15" s="213"/>
      <c r="G15" s="197"/>
      <c r="H15" s="213"/>
      <c r="I15" s="197"/>
      <c r="J15" s="213"/>
      <c r="K15" s="197"/>
      <c r="L15" s="213"/>
      <c r="M15" s="201"/>
      <c r="N15" s="79"/>
    </row>
    <row r="16" spans="1:14" x14ac:dyDescent="0.25">
      <c r="B16" s="202" t="s">
        <v>523</v>
      </c>
      <c r="C16" s="206">
        <v>158</v>
      </c>
      <c r="D16" s="214">
        <v>163</v>
      </c>
      <c r="E16" s="206">
        <v>163</v>
      </c>
      <c r="F16" s="214">
        <v>163</v>
      </c>
      <c r="G16" s="206">
        <v>163</v>
      </c>
      <c r="H16" s="214">
        <v>163</v>
      </c>
      <c r="I16" s="206">
        <v>163</v>
      </c>
      <c r="J16" s="214">
        <v>163</v>
      </c>
      <c r="K16" s="206">
        <v>163</v>
      </c>
      <c r="L16" s="214">
        <v>163</v>
      </c>
      <c r="M16" s="201">
        <v>163</v>
      </c>
      <c r="N16" s="214">
        <v>163</v>
      </c>
    </row>
    <row r="17" spans="2:14" x14ac:dyDescent="0.25">
      <c r="B17" s="217" t="s">
        <v>1412</v>
      </c>
      <c r="C17" s="197"/>
      <c r="D17" s="215">
        <f t="shared" ref="D17" si="21">C16-D16</f>
        <v>-5</v>
      </c>
      <c r="E17" s="197">
        <f t="shared" ref="E17" si="22">D16-E16</f>
        <v>0</v>
      </c>
      <c r="F17" s="213">
        <f t="shared" ref="F17" si="23">E16-F16</f>
        <v>0</v>
      </c>
      <c r="G17" s="197">
        <f t="shared" ref="G17" si="24">F16-G16</f>
        <v>0</v>
      </c>
      <c r="H17" s="213">
        <f t="shared" ref="H17" si="25">G16-H16</f>
        <v>0</v>
      </c>
      <c r="I17" s="197">
        <f t="shared" ref="I17" si="26">H16-I16</f>
        <v>0</v>
      </c>
      <c r="J17" s="213">
        <f t="shared" ref="J17" si="27">I16-J16</f>
        <v>0</v>
      </c>
      <c r="K17" s="197">
        <f t="shared" ref="K17" si="28">J16-K16</f>
        <v>0</v>
      </c>
      <c r="L17" s="213">
        <f t="shared" ref="L17" si="29">K16-L16</f>
        <v>0</v>
      </c>
      <c r="M17" s="207">
        <f t="shared" ref="M17:N17" si="30">L16-M16</f>
        <v>0</v>
      </c>
      <c r="N17" s="207">
        <f t="shared" si="30"/>
        <v>0</v>
      </c>
    </row>
    <row r="18" spans="2:14" x14ac:dyDescent="0.25">
      <c r="B18" s="203"/>
      <c r="C18" s="197"/>
      <c r="D18" s="213"/>
      <c r="E18" s="197"/>
      <c r="F18" s="213"/>
      <c r="G18" s="197"/>
      <c r="H18" s="213"/>
      <c r="I18" s="197"/>
      <c r="J18" s="213"/>
      <c r="K18" s="197"/>
      <c r="L18" s="213"/>
      <c r="M18" s="201"/>
      <c r="N18" s="79"/>
    </row>
    <row r="19" spans="2:14" x14ac:dyDescent="0.25">
      <c r="B19" s="202" t="s">
        <v>541</v>
      </c>
      <c r="C19" s="206">
        <v>104</v>
      </c>
      <c r="D19" s="214">
        <v>104</v>
      </c>
      <c r="E19" s="206">
        <v>104</v>
      </c>
      <c r="F19" s="214">
        <v>104</v>
      </c>
      <c r="G19" s="206">
        <v>104</v>
      </c>
      <c r="H19" s="214">
        <v>104</v>
      </c>
      <c r="I19" s="206">
        <v>94</v>
      </c>
      <c r="J19" s="214">
        <v>94</v>
      </c>
      <c r="K19" s="206">
        <v>94</v>
      </c>
      <c r="L19" s="214">
        <v>94</v>
      </c>
      <c r="M19" s="201">
        <v>94</v>
      </c>
      <c r="N19" s="214">
        <v>94</v>
      </c>
    </row>
    <row r="20" spans="2:14" x14ac:dyDescent="0.25">
      <c r="B20" s="218" t="s">
        <v>1412</v>
      </c>
      <c r="C20" s="209"/>
      <c r="D20" s="216">
        <f t="shared" ref="D20" si="31">C19-D19</f>
        <v>0</v>
      </c>
      <c r="E20" s="209">
        <f t="shared" ref="E20" si="32">D19-E19</f>
        <v>0</v>
      </c>
      <c r="F20" s="216">
        <f t="shared" ref="F20" si="33">E19-F19</f>
        <v>0</v>
      </c>
      <c r="G20" s="209">
        <f t="shared" ref="G20" si="34">F19-G19</f>
        <v>0</v>
      </c>
      <c r="H20" s="216">
        <f t="shared" ref="H20" si="35">G19-H19</f>
        <v>0</v>
      </c>
      <c r="I20" s="210">
        <f t="shared" ref="I20" si="36">H19-I19</f>
        <v>10</v>
      </c>
      <c r="J20" s="216">
        <f t="shared" ref="J20" si="37">I19-J19</f>
        <v>0</v>
      </c>
      <c r="K20" s="209">
        <f t="shared" ref="K20" si="38">J19-K19</f>
        <v>0</v>
      </c>
      <c r="L20" s="216">
        <f t="shared" ref="L20" si="39">K19-L19</f>
        <v>0</v>
      </c>
      <c r="M20" s="211">
        <f t="shared" ref="M20:N20" si="40">L19-M19</f>
        <v>0</v>
      </c>
      <c r="N20" s="207">
        <f t="shared" si="40"/>
        <v>0</v>
      </c>
    </row>
    <row r="21" spans="2:14" x14ac:dyDescent="0.25">
      <c r="N21" s="224"/>
    </row>
    <row r="22" spans="2:14" ht="15.75" thickBot="1" x14ac:dyDescent="0.3">
      <c r="B22" s="198" t="s">
        <v>1411</v>
      </c>
      <c r="C22" s="199">
        <f>SUM(C8+C11+C14+C17+C20)</f>
        <v>0</v>
      </c>
      <c r="D22" s="199">
        <f t="shared" ref="D22:N22" si="41">SUM(D8+D11+D14+D17+D20)</f>
        <v>-5</v>
      </c>
      <c r="E22" s="199">
        <f t="shared" si="41"/>
        <v>0</v>
      </c>
      <c r="F22" s="199">
        <f t="shared" si="41"/>
        <v>0</v>
      </c>
      <c r="G22" s="199">
        <f t="shared" si="41"/>
        <v>29</v>
      </c>
      <c r="H22" s="199">
        <f t="shared" si="41"/>
        <v>0</v>
      </c>
      <c r="I22" s="199">
        <f t="shared" si="41"/>
        <v>10</v>
      </c>
      <c r="J22" s="199">
        <f t="shared" si="41"/>
        <v>0</v>
      </c>
      <c r="K22" s="199">
        <f t="shared" si="41"/>
        <v>0</v>
      </c>
      <c r="L22" s="199">
        <f t="shared" si="41"/>
        <v>0</v>
      </c>
      <c r="M22" s="199">
        <f t="shared" si="41"/>
        <v>-1</v>
      </c>
      <c r="N22" s="225">
        <f t="shared" si="41"/>
        <v>0</v>
      </c>
    </row>
  </sheetData>
  <pageMargins left="0.7" right="0.7" top="0.75" bottom="0.75" header="0.3" footer="0.3"/>
  <customProperties>
    <customPr name="EpmWorksheetKeyString_GUID" r:id="rId1"/>
    <customPr name="FPMExcelClientCellBasedFunctionStatus" r:id="rId2"/>
    <customPr name="FPMExcelClientRefreshTime" r:id="rId3"/>
  </customProperties>
  <drawing r:id="rId4"/>
  <legacyDrawing r:id="rId5"/>
  <controls>
    <mc:AlternateContent xmlns:mc="http://schemas.openxmlformats.org/markup-compatibility/2006">
      <mc:Choice Requires="x14">
        <control shapeId="15361" r:id="rId6" name="FPMExcelClientSheetOptionstb1">
          <controlPr defaultSize="0" autoLine="0" autoPict="0" r:id="rId7">
            <anchor moveWithCells="1" sizeWithCells="1">
              <from>
                <xdr:col>0</xdr:col>
                <xdr:colOff>0</xdr:colOff>
                <xdr:row>0</xdr:row>
                <xdr:rowOff>0</xdr:rowOff>
              </from>
              <to>
                <xdr:col>1</xdr:col>
                <xdr:colOff>38100</xdr:colOff>
                <xdr:row>0</xdr:row>
                <xdr:rowOff>0</xdr:rowOff>
              </to>
            </anchor>
          </controlPr>
        </control>
      </mc:Choice>
      <mc:Fallback>
        <control shapeId="15361" r:id="rId6" name="FPMExcelClientSheetOptionstb1"/>
      </mc:Fallback>
    </mc:AlternateContent>
  </control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954"/>
  <sheetViews>
    <sheetView workbookViewId="0">
      <pane ySplit="7" topLeftCell="A8" activePane="bottomLeft" state="frozen"/>
      <selection pane="bottomLeft" activeCell="A8" sqref="A8"/>
    </sheetView>
  </sheetViews>
  <sheetFormatPr defaultRowHeight="15" x14ac:dyDescent="0.25"/>
  <cols>
    <col min="1" max="1" width="20.85546875" customWidth="1"/>
    <col min="2" max="2" width="41.5703125" customWidth="1"/>
    <col min="3" max="6" width="13.140625" customWidth="1"/>
    <col min="7" max="8" width="13.28515625" customWidth="1"/>
    <col min="9" max="9" width="13.140625" customWidth="1"/>
    <col min="10" max="10" width="13.28515625" customWidth="1"/>
    <col min="11" max="11" width="13.140625" customWidth="1"/>
    <col min="12" max="12" width="13.28515625" customWidth="1"/>
    <col min="13" max="13" width="13.140625" customWidth="1"/>
    <col min="14" max="14" width="13.28515625" customWidth="1"/>
    <col min="15" max="15" width="14.42578125" customWidth="1"/>
  </cols>
  <sheetData>
    <row r="1" spans="1:15" ht="15.75" x14ac:dyDescent="0.25">
      <c r="A1" s="265" t="s">
        <v>556</v>
      </c>
      <c r="B1" s="265"/>
      <c r="C1" s="265"/>
      <c r="D1" s="265"/>
      <c r="E1" s="265"/>
      <c r="F1" s="265"/>
      <c r="G1" s="265"/>
      <c r="H1" s="265"/>
      <c r="I1" s="265"/>
      <c r="J1" s="265"/>
      <c r="K1" s="265"/>
      <c r="L1" s="265"/>
      <c r="M1" s="265"/>
      <c r="N1" s="265"/>
      <c r="O1" s="265"/>
    </row>
    <row r="2" spans="1:15" x14ac:dyDescent="0.25">
      <c r="A2" s="264" t="s">
        <v>1391</v>
      </c>
      <c r="B2" s="264"/>
      <c r="C2" s="264"/>
      <c r="D2" s="264"/>
      <c r="E2" s="264"/>
      <c r="F2" s="264"/>
      <c r="G2" s="264"/>
      <c r="H2" s="264"/>
      <c r="I2" s="264"/>
      <c r="J2" s="264"/>
      <c r="K2" s="264"/>
      <c r="L2" s="264"/>
      <c r="M2" s="264"/>
      <c r="N2" s="264"/>
      <c r="O2" s="264"/>
    </row>
    <row r="3" spans="1:15" x14ac:dyDescent="0.25">
      <c r="A3" s="264" t="s">
        <v>1392</v>
      </c>
      <c r="B3" s="264"/>
      <c r="C3" s="264"/>
      <c r="D3" s="264"/>
      <c r="E3" s="264"/>
      <c r="F3" s="264"/>
      <c r="G3" s="264"/>
      <c r="H3" s="264"/>
      <c r="I3" s="264"/>
      <c r="J3" s="264"/>
      <c r="K3" s="264"/>
      <c r="L3" s="264"/>
      <c r="M3" s="264"/>
      <c r="N3" s="264"/>
      <c r="O3" s="264"/>
    </row>
    <row r="4" spans="1:15" x14ac:dyDescent="0.25">
      <c r="A4" s="264" t="s">
        <v>1634</v>
      </c>
      <c r="B4" s="264"/>
      <c r="C4" s="264"/>
      <c r="D4" s="264"/>
      <c r="E4" s="264"/>
      <c r="F4" s="264"/>
      <c r="G4" s="264"/>
      <c r="H4" s="264"/>
      <c r="I4" s="264"/>
      <c r="J4" s="264"/>
      <c r="K4" s="264"/>
      <c r="L4" s="264"/>
      <c r="M4" s="264"/>
      <c r="N4" s="264"/>
      <c r="O4" s="264"/>
    </row>
    <row r="5" spans="1:15" x14ac:dyDescent="0.25">
      <c r="A5" s="264"/>
      <c r="B5" s="264"/>
      <c r="C5" s="264"/>
      <c r="D5" s="264"/>
      <c r="E5" s="264"/>
      <c r="F5" s="264"/>
      <c r="G5" s="264"/>
      <c r="H5" s="264"/>
      <c r="I5" s="264"/>
      <c r="J5" s="264"/>
      <c r="K5" s="264"/>
      <c r="L5" s="264"/>
      <c r="M5" s="264"/>
      <c r="N5" s="264"/>
      <c r="O5" s="264"/>
    </row>
    <row r="6" spans="1:15" x14ac:dyDescent="0.25">
      <c r="A6" s="264"/>
      <c r="B6" s="264"/>
      <c r="C6" s="264"/>
      <c r="D6" s="264"/>
      <c r="E6" s="264"/>
      <c r="F6" s="264"/>
      <c r="G6" s="264"/>
      <c r="H6" s="264"/>
      <c r="I6" s="264"/>
      <c r="J6" s="264"/>
      <c r="K6" s="264"/>
      <c r="L6" s="264"/>
      <c r="M6" s="264"/>
      <c r="N6" s="264"/>
      <c r="O6" s="264"/>
    </row>
    <row r="7" spans="1:15" x14ac:dyDescent="0.25">
      <c r="C7" s="234" t="s">
        <v>560</v>
      </c>
      <c r="D7" s="234" t="s">
        <v>561</v>
      </c>
      <c r="E7" s="234" t="s">
        <v>562</v>
      </c>
      <c r="F7" s="234" t="s">
        <v>563</v>
      </c>
      <c r="G7" s="234" t="s">
        <v>564</v>
      </c>
      <c r="H7" s="234" t="s">
        <v>565</v>
      </c>
      <c r="I7" s="234" t="s">
        <v>566</v>
      </c>
      <c r="J7" s="234" t="s">
        <v>567</v>
      </c>
      <c r="K7" s="234" t="s">
        <v>568</v>
      </c>
      <c r="L7" s="234" t="s">
        <v>557</v>
      </c>
      <c r="M7" s="234" t="s">
        <v>558</v>
      </c>
      <c r="N7" s="234" t="s">
        <v>559</v>
      </c>
      <c r="O7" s="234" t="s">
        <v>569</v>
      </c>
    </row>
    <row r="8" spans="1:15" x14ac:dyDescent="0.25">
      <c r="C8" s="234" t="s">
        <v>1393</v>
      </c>
      <c r="D8" s="234" t="s">
        <v>1393</v>
      </c>
      <c r="E8" s="234" t="s">
        <v>1393</v>
      </c>
      <c r="F8" s="234" t="s">
        <v>1393</v>
      </c>
      <c r="G8" s="234" t="s">
        <v>1517</v>
      </c>
      <c r="H8" s="234" t="s">
        <v>1517</v>
      </c>
      <c r="I8" s="234" t="s">
        <v>1517</v>
      </c>
      <c r="J8" s="234" t="s">
        <v>1517</v>
      </c>
      <c r="K8" s="234" t="s">
        <v>1517</v>
      </c>
      <c r="L8" s="234" t="s">
        <v>1517</v>
      </c>
      <c r="M8" s="234" t="s">
        <v>1517</v>
      </c>
      <c r="N8" s="234" t="s">
        <v>1517</v>
      </c>
      <c r="O8" s="234" t="s">
        <v>570</v>
      </c>
    </row>
    <row r="9" spans="1:15" x14ac:dyDescent="0.25">
      <c r="A9" s="235"/>
      <c r="B9" s="235"/>
      <c r="C9" s="236"/>
      <c r="D9" s="236"/>
      <c r="E9" s="236"/>
      <c r="F9" s="236"/>
      <c r="G9" s="236"/>
      <c r="H9" s="236"/>
      <c r="I9" s="236"/>
      <c r="J9" s="236"/>
      <c r="K9" s="236"/>
      <c r="L9" s="236"/>
      <c r="M9" s="236"/>
      <c r="N9" s="236"/>
      <c r="O9" s="236"/>
    </row>
    <row r="10" spans="1:15" x14ac:dyDescent="0.25">
      <c r="A10" s="237"/>
      <c r="B10" s="237" t="s">
        <v>471</v>
      </c>
      <c r="C10" s="238"/>
      <c r="D10" s="238"/>
      <c r="E10" s="238"/>
      <c r="F10" s="238"/>
      <c r="G10" s="238"/>
      <c r="H10" s="238"/>
      <c r="I10" s="238"/>
      <c r="J10" s="238"/>
      <c r="K10" s="238"/>
      <c r="L10" s="238"/>
      <c r="M10" s="238"/>
      <c r="N10" s="238"/>
      <c r="O10" s="238"/>
    </row>
    <row r="11" spans="1:15" x14ac:dyDescent="0.25">
      <c r="A11" s="235"/>
      <c r="B11" s="235"/>
      <c r="C11" s="236"/>
      <c r="D11" s="236"/>
      <c r="E11" s="236"/>
      <c r="F11" s="236"/>
      <c r="G11" s="236"/>
      <c r="H11" s="236"/>
      <c r="I11" s="236"/>
      <c r="J11" s="236"/>
      <c r="K11" s="236"/>
      <c r="L11" s="236"/>
      <c r="M11" s="236"/>
      <c r="N11" s="236"/>
      <c r="O11" s="236"/>
    </row>
    <row r="12" spans="1:15" x14ac:dyDescent="0.25">
      <c r="A12" s="239"/>
      <c r="B12" s="239" t="s">
        <v>571</v>
      </c>
      <c r="C12" s="240"/>
      <c r="D12" s="240"/>
      <c r="E12" s="240"/>
      <c r="F12" s="240"/>
      <c r="G12" s="240"/>
      <c r="H12" s="240"/>
      <c r="I12" s="240"/>
      <c r="J12" s="240"/>
      <c r="K12" s="240"/>
      <c r="L12" s="240"/>
      <c r="M12" s="240"/>
      <c r="N12" s="240"/>
      <c r="O12" s="240"/>
    </row>
    <row r="13" spans="1:15" x14ac:dyDescent="0.25">
      <c r="A13" s="241" t="s">
        <v>572</v>
      </c>
      <c r="B13" s="241" t="s">
        <v>573</v>
      </c>
      <c r="C13" s="242">
        <v>1777412.2</v>
      </c>
      <c r="D13" s="242">
        <v>1851986.49</v>
      </c>
      <c r="E13" s="242">
        <v>1752768.95</v>
      </c>
      <c r="F13" s="242">
        <v>1352142.25</v>
      </c>
      <c r="G13" s="242">
        <v>1486098.16</v>
      </c>
      <c r="H13" s="242">
        <v>1653323.36</v>
      </c>
      <c r="I13" s="242">
        <v>1934371.64</v>
      </c>
      <c r="J13" s="242">
        <v>1791592.33</v>
      </c>
      <c r="K13" s="242">
        <v>2024179.45</v>
      </c>
      <c r="L13" s="242">
        <v>1953675.93</v>
      </c>
      <c r="M13" s="242">
        <v>2070755.61</v>
      </c>
      <c r="N13" s="242">
        <v>2074922.76</v>
      </c>
      <c r="O13" s="242">
        <v>21723229.129999999</v>
      </c>
    </row>
    <row r="14" spans="1:15" x14ac:dyDescent="0.25">
      <c r="A14" s="241" t="s">
        <v>574</v>
      </c>
      <c r="B14" s="241" t="s">
        <v>575</v>
      </c>
      <c r="C14" s="242">
        <v>80</v>
      </c>
      <c r="D14" s="242">
        <v>1000</v>
      </c>
      <c r="E14" s="242">
        <v>57</v>
      </c>
      <c r="F14" s="242">
        <v>40</v>
      </c>
      <c r="G14" s="243"/>
      <c r="H14" s="243"/>
      <c r="I14" s="243"/>
      <c r="J14" s="243"/>
      <c r="K14" s="242">
        <v>221</v>
      </c>
      <c r="L14" s="243"/>
      <c r="M14" s="242">
        <v>144.4</v>
      </c>
      <c r="N14" s="242">
        <v>1454.4</v>
      </c>
      <c r="O14" s="242">
        <v>2996.8</v>
      </c>
    </row>
    <row r="15" spans="1:15" x14ac:dyDescent="0.25">
      <c r="A15" s="241" t="s">
        <v>576</v>
      </c>
      <c r="B15" s="241" t="s">
        <v>577</v>
      </c>
      <c r="C15" s="242">
        <v>884.8</v>
      </c>
      <c r="D15" s="242">
        <v>1707.62</v>
      </c>
      <c r="E15" s="242">
        <v>-206.11</v>
      </c>
      <c r="F15" s="242">
        <v>-1463.05</v>
      </c>
      <c r="G15" s="242">
        <v>1068.1300000000001</v>
      </c>
      <c r="H15" s="242">
        <v>3581.77</v>
      </c>
      <c r="I15" s="242">
        <v>-874.56</v>
      </c>
      <c r="J15" s="242">
        <v>6950.7</v>
      </c>
      <c r="K15" s="242">
        <v>-3800.35</v>
      </c>
      <c r="L15" s="242">
        <v>1116.42</v>
      </c>
      <c r="M15" s="242">
        <v>1653.05</v>
      </c>
      <c r="N15" s="242">
        <v>1467.76</v>
      </c>
      <c r="O15" s="242">
        <v>12086.18</v>
      </c>
    </row>
    <row r="16" spans="1:15" x14ac:dyDescent="0.25">
      <c r="A16" s="241" t="s">
        <v>578</v>
      </c>
      <c r="B16" s="241" t="s">
        <v>579</v>
      </c>
      <c r="C16" s="242">
        <v>2136.9</v>
      </c>
      <c r="D16" s="242">
        <v>1336.22</v>
      </c>
      <c r="E16" s="242">
        <v>1108.96</v>
      </c>
      <c r="F16" s="242">
        <v>556.4</v>
      </c>
      <c r="G16" s="242">
        <v>1098.68</v>
      </c>
      <c r="H16" s="242">
        <v>1607.34</v>
      </c>
      <c r="I16" s="242">
        <v>1588.86</v>
      </c>
      <c r="J16" s="242">
        <v>744.64</v>
      </c>
      <c r="K16" s="242">
        <v>1444.18</v>
      </c>
      <c r="L16" s="242">
        <v>1775.92</v>
      </c>
      <c r="M16" s="242">
        <v>1360.3</v>
      </c>
      <c r="N16" s="242">
        <v>1393.6</v>
      </c>
      <c r="O16" s="242">
        <v>16152</v>
      </c>
    </row>
    <row r="17" spans="1:15" x14ac:dyDescent="0.25">
      <c r="A17" s="241" t="s">
        <v>580</v>
      </c>
      <c r="B17" s="241" t="s">
        <v>581</v>
      </c>
      <c r="C17" s="242">
        <v>684.14</v>
      </c>
      <c r="D17" s="242">
        <v>-558.67999999999995</v>
      </c>
      <c r="E17" s="242">
        <v>148.5</v>
      </c>
      <c r="F17" s="243"/>
      <c r="G17" s="242">
        <v>349.74</v>
      </c>
      <c r="H17" s="242">
        <v>-9.48</v>
      </c>
      <c r="I17" s="242">
        <v>30.6</v>
      </c>
      <c r="J17" s="242">
        <v>460.74</v>
      </c>
      <c r="K17" s="242">
        <v>-170.24</v>
      </c>
      <c r="L17" s="242">
        <v>32.18</v>
      </c>
      <c r="M17" s="242">
        <v>843.2</v>
      </c>
      <c r="N17" s="243"/>
      <c r="O17" s="242">
        <v>1810.7</v>
      </c>
    </row>
    <row r="18" spans="1:15" x14ac:dyDescent="0.25">
      <c r="A18" s="241" t="s">
        <v>582</v>
      </c>
      <c r="B18" s="241" t="s">
        <v>583</v>
      </c>
      <c r="C18" s="242">
        <v>4125</v>
      </c>
      <c r="D18" s="242">
        <v>7278</v>
      </c>
      <c r="E18" s="242">
        <v>6085</v>
      </c>
      <c r="F18" s="242">
        <v>4282</v>
      </c>
      <c r="G18" s="242">
        <v>2845</v>
      </c>
      <c r="H18" s="242">
        <v>2648</v>
      </c>
      <c r="I18" s="242">
        <v>2916</v>
      </c>
      <c r="J18" s="242">
        <v>3210</v>
      </c>
      <c r="K18" s="242">
        <v>3506</v>
      </c>
      <c r="L18" s="242">
        <v>2416</v>
      </c>
      <c r="M18" s="242">
        <v>2883</v>
      </c>
      <c r="N18" s="242">
        <v>2806</v>
      </c>
      <c r="O18" s="242">
        <v>45000</v>
      </c>
    </row>
    <row r="19" spans="1:15" x14ac:dyDescent="0.25">
      <c r="A19" s="241" t="s">
        <v>584</v>
      </c>
      <c r="B19" s="241" t="s">
        <v>585</v>
      </c>
      <c r="C19" s="242">
        <v>137.76</v>
      </c>
      <c r="D19" s="242">
        <v>14177.3</v>
      </c>
      <c r="E19" s="242">
        <v>8826.44</v>
      </c>
      <c r="F19" s="242">
        <v>8147.6</v>
      </c>
      <c r="G19" s="242">
        <v>757.66</v>
      </c>
      <c r="H19" s="242">
        <v>5069.96</v>
      </c>
      <c r="I19" s="242">
        <v>9513.7000000000007</v>
      </c>
      <c r="J19" s="242">
        <v>11868.52</v>
      </c>
      <c r="K19" s="242">
        <v>6142.66</v>
      </c>
      <c r="L19" s="242">
        <v>7595.08</v>
      </c>
      <c r="M19" s="242">
        <v>7048.76</v>
      </c>
      <c r="N19" s="242">
        <v>5047.2</v>
      </c>
      <c r="O19" s="242">
        <v>84332.64</v>
      </c>
    </row>
    <row r="20" spans="1:15" x14ac:dyDescent="0.25">
      <c r="A20" s="241" t="s">
        <v>586</v>
      </c>
      <c r="B20" s="241" t="s">
        <v>587</v>
      </c>
      <c r="C20" s="242">
        <v>9624.32</v>
      </c>
      <c r="D20" s="242">
        <v>935.86</v>
      </c>
      <c r="E20" s="242">
        <v>3062.14</v>
      </c>
      <c r="F20" s="242">
        <v>-80.06</v>
      </c>
      <c r="G20" s="242">
        <v>-707.16</v>
      </c>
      <c r="H20" s="242">
        <v>1417.18</v>
      </c>
      <c r="I20" s="242">
        <v>1767.84</v>
      </c>
      <c r="J20" s="242">
        <v>4487.18</v>
      </c>
      <c r="K20" s="242">
        <v>2908.5</v>
      </c>
      <c r="L20" s="242">
        <v>-510.56</v>
      </c>
      <c r="M20" s="242">
        <v>1250.18</v>
      </c>
      <c r="N20" s="242">
        <v>4365.9799999999996</v>
      </c>
      <c r="O20" s="242">
        <v>28521.4</v>
      </c>
    </row>
    <row r="21" spans="1:15" x14ac:dyDescent="0.25">
      <c r="A21" s="241" t="s">
        <v>588</v>
      </c>
      <c r="B21" s="241" t="s">
        <v>589</v>
      </c>
      <c r="C21" s="242">
        <v>16463.72</v>
      </c>
      <c r="D21" s="242">
        <v>-1141.1199999999999</v>
      </c>
      <c r="E21" s="242">
        <v>8981.0400000000009</v>
      </c>
      <c r="F21" s="242">
        <v>8712.14</v>
      </c>
      <c r="G21" s="242">
        <v>-846.56</v>
      </c>
      <c r="H21" s="242">
        <v>3975.12</v>
      </c>
      <c r="I21" s="242">
        <v>4707.08</v>
      </c>
      <c r="J21" s="242">
        <v>11879.8</v>
      </c>
      <c r="K21" s="242">
        <v>5411.98</v>
      </c>
      <c r="L21" s="242">
        <v>3548.42</v>
      </c>
      <c r="M21" s="242">
        <v>11911.6</v>
      </c>
      <c r="N21" s="242">
        <v>1822.36</v>
      </c>
      <c r="O21" s="242">
        <v>75425.58</v>
      </c>
    </row>
    <row r="22" spans="1:15" x14ac:dyDescent="0.25">
      <c r="A22" s="241" t="s">
        <v>590</v>
      </c>
      <c r="B22" s="241" t="s">
        <v>591</v>
      </c>
      <c r="C22" s="242">
        <v>6693.4</v>
      </c>
      <c r="D22" s="242">
        <v>4317.3</v>
      </c>
      <c r="E22" s="242">
        <v>7900.6</v>
      </c>
      <c r="F22" s="242">
        <v>1140</v>
      </c>
      <c r="G22" s="242">
        <v>3776.3</v>
      </c>
      <c r="H22" s="242">
        <v>6593.8</v>
      </c>
      <c r="I22" s="242">
        <v>6017.6</v>
      </c>
      <c r="J22" s="242">
        <v>4139</v>
      </c>
      <c r="K22" s="242">
        <v>7835.9</v>
      </c>
      <c r="L22" s="242">
        <v>6619.9</v>
      </c>
      <c r="M22" s="242">
        <v>9197.9</v>
      </c>
      <c r="N22" s="242">
        <v>6099.8</v>
      </c>
      <c r="O22" s="242">
        <v>70331.5</v>
      </c>
    </row>
    <row r="23" spans="1:15" x14ac:dyDescent="0.25">
      <c r="A23" s="241" t="s">
        <v>1635</v>
      </c>
      <c r="B23" s="241" t="s">
        <v>637</v>
      </c>
      <c r="C23" s="243"/>
      <c r="D23" s="243"/>
      <c r="E23" s="243"/>
      <c r="F23" s="243"/>
      <c r="G23" s="243"/>
      <c r="H23" s="243"/>
      <c r="I23" s="243"/>
      <c r="J23" s="243"/>
      <c r="K23" s="243"/>
      <c r="L23" s="243"/>
      <c r="M23" s="243"/>
      <c r="N23" s="242">
        <v>537.14</v>
      </c>
      <c r="O23" s="242">
        <v>537.14</v>
      </c>
    </row>
    <row r="24" spans="1:15" x14ac:dyDescent="0.25">
      <c r="A24" s="241" t="s">
        <v>595</v>
      </c>
      <c r="B24" s="241" t="s">
        <v>596</v>
      </c>
      <c r="C24" s="242">
        <v>-66.77</v>
      </c>
      <c r="D24" s="242">
        <v>90.87</v>
      </c>
      <c r="E24" s="242">
        <v>193.97</v>
      </c>
      <c r="F24" s="242">
        <v>38.590000000000003</v>
      </c>
      <c r="G24" s="242">
        <v>57.4</v>
      </c>
      <c r="H24" s="242">
        <v>573.71</v>
      </c>
      <c r="I24" s="242">
        <v>4.87</v>
      </c>
      <c r="J24" s="242">
        <v>308.99</v>
      </c>
      <c r="K24" s="242">
        <v>831.56</v>
      </c>
      <c r="L24" s="242">
        <v>20.239999999999998</v>
      </c>
      <c r="M24" s="242">
        <v>-54.32</v>
      </c>
      <c r="N24" s="242">
        <v>435.8</v>
      </c>
      <c r="O24" s="242">
        <v>2434.91</v>
      </c>
    </row>
    <row r="25" spans="1:15" x14ac:dyDescent="0.25">
      <c r="A25" s="241" t="s">
        <v>1595</v>
      </c>
      <c r="B25" s="241" t="s">
        <v>597</v>
      </c>
      <c r="C25" s="243"/>
      <c r="D25" s="243"/>
      <c r="E25" s="243"/>
      <c r="F25" s="243"/>
      <c r="G25" s="243"/>
      <c r="H25" s="243"/>
      <c r="I25" s="243"/>
      <c r="J25" s="242">
        <v>80</v>
      </c>
      <c r="K25" s="243"/>
      <c r="L25" s="243"/>
      <c r="M25" s="243"/>
      <c r="N25" s="243"/>
      <c r="O25" s="242">
        <v>80</v>
      </c>
    </row>
    <row r="26" spans="1:15" x14ac:dyDescent="0.25">
      <c r="A26" s="241" t="s">
        <v>598</v>
      </c>
      <c r="B26" s="241" t="s">
        <v>599</v>
      </c>
      <c r="C26" s="242">
        <v>477.52</v>
      </c>
      <c r="D26" s="242">
        <v>-182.22</v>
      </c>
      <c r="E26" s="242">
        <v>311.12</v>
      </c>
      <c r="F26" s="243"/>
      <c r="G26" s="243"/>
      <c r="H26" s="242">
        <v>286.58</v>
      </c>
      <c r="I26" s="243"/>
      <c r="J26" s="242">
        <v>-21.8</v>
      </c>
      <c r="K26" s="242">
        <v>415.5</v>
      </c>
      <c r="L26" s="243"/>
      <c r="M26" s="243"/>
      <c r="N26" s="243"/>
      <c r="O26" s="242">
        <v>1286.7</v>
      </c>
    </row>
    <row r="27" spans="1:15" x14ac:dyDescent="0.25">
      <c r="A27" s="241" t="s">
        <v>600</v>
      </c>
      <c r="B27" s="241" t="s">
        <v>601</v>
      </c>
      <c r="C27" s="242">
        <v>-63863.040000000001</v>
      </c>
      <c r="D27" s="242">
        <v>-83213.77</v>
      </c>
      <c r="E27" s="242">
        <v>-57862.63</v>
      </c>
      <c r="F27" s="242">
        <v>-47970.38</v>
      </c>
      <c r="G27" s="242">
        <v>-67356.94</v>
      </c>
      <c r="H27" s="242">
        <v>-42741.279999999999</v>
      </c>
      <c r="I27" s="242">
        <v>-46065.02</v>
      </c>
      <c r="J27" s="242">
        <v>-40609.18</v>
      </c>
      <c r="K27" s="242">
        <v>-31313.01</v>
      </c>
      <c r="L27" s="242">
        <v>-25414.1</v>
      </c>
      <c r="M27" s="242">
        <v>-15437.93</v>
      </c>
      <c r="N27" s="242">
        <v>-48022.559999999998</v>
      </c>
      <c r="O27" s="242">
        <v>-569869.84</v>
      </c>
    </row>
    <row r="28" spans="1:15" x14ac:dyDescent="0.25">
      <c r="A28" s="241" t="s">
        <v>602</v>
      </c>
      <c r="B28" s="241" t="s">
        <v>603</v>
      </c>
      <c r="C28" s="243"/>
      <c r="D28" s="243"/>
      <c r="E28" s="243"/>
      <c r="F28" s="243"/>
      <c r="G28" s="243"/>
      <c r="H28" s="243"/>
      <c r="I28" s="243"/>
      <c r="J28" s="242">
        <v>-80</v>
      </c>
      <c r="K28" s="243"/>
      <c r="L28" s="243"/>
      <c r="M28" s="243"/>
      <c r="N28" s="243"/>
      <c r="O28" s="242">
        <v>-80</v>
      </c>
    </row>
    <row r="29" spans="1:15" x14ac:dyDescent="0.25">
      <c r="A29" s="241" t="s">
        <v>1371</v>
      </c>
      <c r="B29" s="241" t="s">
        <v>623</v>
      </c>
      <c r="C29" s="242">
        <v>-9.58</v>
      </c>
      <c r="D29" s="242">
        <v>-924.32</v>
      </c>
      <c r="E29" s="242">
        <v>181.77</v>
      </c>
      <c r="F29" s="242">
        <v>-8619.24</v>
      </c>
      <c r="G29" s="242">
        <v>9817.6</v>
      </c>
      <c r="H29" s="242">
        <v>-8368.19</v>
      </c>
      <c r="I29" s="243"/>
      <c r="J29" s="243"/>
      <c r="K29" s="242">
        <v>-280.12</v>
      </c>
      <c r="L29" s="243"/>
      <c r="M29" s="242">
        <v>-415.34</v>
      </c>
      <c r="N29" s="243"/>
      <c r="O29" s="242">
        <v>-8617.42</v>
      </c>
    </row>
    <row r="30" spans="1:15" x14ac:dyDescent="0.25">
      <c r="A30" s="241" t="s">
        <v>604</v>
      </c>
      <c r="B30" s="241" t="s">
        <v>605</v>
      </c>
      <c r="C30" s="244">
        <v>-18018.560000000001</v>
      </c>
      <c r="D30" s="244">
        <v>-14015.94</v>
      </c>
      <c r="E30" s="244">
        <v>7207.57</v>
      </c>
      <c r="F30" s="244">
        <v>16025.82</v>
      </c>
      <c r="G30" s="244">
        <v>2563.84</v>
      </c>
      <c r="H30" s="244">
        <v>-12560.83</v>
      </c>
      <c r="I30" s="244">
        <v>-4705.07</v>
      </c>
      <c r="J30" s="244">
        <v>5974.04</v>
      </c>
      <c r="K30" s="244">
        <v>-19478.77</v>
      </c>
      <c r="L30" s="244">
        <v>-2017.12</v>
      </c>
      <c r="M30" s="244">
        <v>-7901.61</v>
      </c>
      <c r="N30" s="244">
        <v>-21156.94</v>
      </c>
      <c r="O30" s="244">
        <v>-68083.570000000007</v>
      </c>
    </row>
    <row r="31" spans="1:15" x14ac:dyDescent="0.25">
      <c r="A31" s="239"/>
      <c r="B31" s="239" t="s">
        <v>606</v>
      </c>
      <c r="C31" s="245">
        <v>1736761.81</v>
      </c>
      <c r="D31" s="245">
        <v>1782793.61</v>
      </c>
      <c r="E31" s="245">
        <v>1738764.32</v>
      </c>
      <c r="F31" s="245">
        <v>1332952.07</v>
      </c>
      <c r="G31" s="245">
        <v>1439521.85</v>
      </c>
      <c r="H31" s="245">
        <v>1615397.04</v>
      </c>
      <c r="I31" s="245">
        <v>1909273.54</v>
      </c>
      <c r="J31" s="245">
        <v>1800984.96</v>
      </c>
      <c r="K31" s="245">
        <v>1997854.24</v>
      </c>
      <c r="L31" s="245">
        <v>1948858.31</v>
      </c>
      <c r="M31" s="245">
        <v>2083238.8</v>
      </c>
      <c r="N31" s="245">
        <v>2031173.3</v>
      </c>
      <c r="O31" s="245">
        <v>21417573.850000001</v>
      </c>
    </row>
    <row r="32" spans="1:15" x14ac:dyDescent="0.25">
      <c r="A32" s="235"/>
      <c r="B32" s="235"/>
      <c r="C32" s="236"/>
      <c r="D32" s="236"/>
      <c r="E32" s="236"/>
      <c r="F32" s="236"/>
      <c r="G32" s="236"/>
      <c r="H32" s="236"/>
      <c r="I32" s="236"/>
      <c r="J32" s="236"/>
      <c r="K32" s="236"/>
      <c r="L32" s="236"/>
      <c r="M32" s="236"/>
      <c r="N32" s="236"/>
      <c r="O32" s="236"/>
    </row>
    <row r="33" spans="1:15" x14ac:dyDescent="0.25">
      <c r="A33" s="239"/>
      <c r="B33" s="239" t="s">
        <v>607</v>
      </c>
      <c r="C33" s="240"/>
      <c r="D33" s="240"/>
      <c r="E33" s="240"/>
      <c r="F33" s="240"/>
      <c r="G33" s="240"/>
      <c r="H33" s="240"/>
      <c r="I33" s="240"/>
      <c r="J33" s="240"/>
      <c r="K33" s="240"/>
      <c r="L33" s="240"/>
      <c r="M33" s="240"/>
      <c r="N33" s="240"/>
      <c r="O33" s="240"/>
    </row>
    <row r="34" spans="1:15" x14ac:dyDescent="0.25">
      <c r="A34" s="241" t="s">
        <v>608</v>
      </c>
      <c r="B34" s="241" t="s">
        <v>573</v>
      </c>
      <c r="C34" s="242">
        <v>3714036.48</v>
      </c>
      <c r="D34" s="242">
        <v>3970965.52</v>
      </c>
      <c r="E34" s="242">
        <v>5128752.6399999997</v>
      </c>
      <c r="F34" s="242">
        <v>5733873.96</v>
      </c>
      <c r="G34" s="242">
        <v>5066894.92</v>
      </c>
      <c r="H34" s="242">
        <v>3866705.64</v>
      </c>
      <c r="I34" s="242">
        <v>3346917.88</v>
      </c>
      <c r="J34" s="242">
        <v>3137730.36</v>
      </c>
      <c r="K34" s="242">
        <v>3013802.48</v>
      </c>
      <c r="L34" s="242">
        <v>2742501.08</v>
      </c>
      <c r="M34" s="242">
        <v>2990298.56</v>
      </c>
      <c r="N34" s="242">
        <v>2947087.44</v>
      </c>
      <c r="O34" s="242">
        <v>45659566.960000001</v>
      </c>
    </row>
    <row r="35" spans="1:15" x14ac:dyDescent="0.25">
      <c r="A35" s="241" t="s">
        <v>609</v>
      </c>
      <c r="B35" s="241" t="s">
        <v>575</v>
      </c>
      <c r="C35" s="242">
        <v>943.74</v>
      </c>
      <c r="D35" s="242">
        <v>9373.18</v>
      </c>
      <c r="E35" s="242">
        <v>2887.94</v>
      </c>
      <c r="F35" s="242">
        <v>3987.36</v>
      </c>
      <c r="G35" s="242">
        <v>1938.58</v>
      </c>
      <c r="H35" s="242">
        <v>5783.3</v>
      </c>
      <c r="I35" s="242">
        <v>8093.7</v>
      </c>
      <c r="J35" s="242">
        <v>8608.7999999999993</v>
      </c>
      <c r="K35" s="242">
        <v>6473.36</v>
      </c>
      <c r="L35" s="242">
        <v>4146.0600000000004</v>
      </c>
      <c r="M35" s="242">
        <v>4718.5</v>
      </c>
      <c r="N35" s="242">
        <v>1726.12</v>
      </c>
      <c r="O35" s="242">
        <v>58680.639999999999</v>
      </c>
    </row>
    <row r="36" spans="1:15" x14ac:dyDescent="0.25">
      <c r="A36" s="241" t="s">
        <v>610</v>
      </c>
      <c r="B36" s="241" t="s">
        <v>577</v>
      </c>
      <c r="C36" s="242">
        <v>580128.19999999995</v>
      </c>
      <c r="D36" s="242">
        <v>617224.38</v>
      </c>
      <c r="E36" s="242">
        <v>784003.78</v>
      </c>
      <c r="F36" s="242">
        <v>811342.84</v>
      </c>
      <c r="G36" s="242">
        <v>708701.6</v>
      </c>
      <c r="H36" s="242">
        <v>584552.04</v>
      </c>
      <c r="I36" s="242">
        <v>463439.45</v>
      </c>
      <c r="J36" s="242">
        <v>524474.92000000004</v>
      </c>
      <c r="K36" s="242">
        <v>526030.88</v>
      </c>
      <c r="L36" s="242">
        <v>543202.02</v>
      </c>
      <c r="M36" s="242">
        <v>524338.11</v>
      </c>
      <c r="N36" s="242">
        <v>467753.44</v>
      </c>
      <c r="O36" s="242">
        <v>7135191.6600000001</v>
      </c>
    </row>
    <row r="37" spans="1:15" x14ac:dyDescent="0.25">
      <c r="A37" s="241" t="s">
        <v>611</v>
      </c>
      <c r="B37" s="241" t="s">
        <v>579</v>
      </c>
      <c r="C37" s="242">
        <v>10013.58</v>
      </c>
      <c r="D37" s="242">
        <v>10526.9</v>
      </c>
      <c r="E37" s="242">
        <v>12419.06</v>
      </c>
      <c r="F37" s="242">
        <v>13794.04</v>
      </c>
      <c r="G37" s="242">
        <v>9697.5</v>
      </c>
      <c r="H37" s="242">
        <v>5730.26</v>
      </c>
      <c r="I37" s="242">
        <v>5284.92</v>
      </c>
      <c r="J37" s="242">
        <v>5081.78</v>
      </c>
      <c r="K37" s="242">
        <v>5576.68</v>
      </c>
      <c r="L37" s="242">
        <v>7342.26</v>
      </c>
      <c r="M37" s="242">
        <v>8598.7199999999993</v>
      </c>
      <c r="N37" s="242">
        <v>11050.78</v>
      </c>
      <c r="O37" s="242">
        <v>105116.48</v>
      </c>
    </row>
    <row r="38" spans="1:15" x14ac:dyDescent="0.25">
      <c r="A38" s="241" t="s">
        <v>612</v>
      </c>
      <c r="B38" s="241" t="s">
        <v>581</v>
      </c>
      <c r="C38" s="242">
        <v>66971.88</v>
      </c>
      <c r="D38" s="242">
        <v>73217.460000000006</v>
      </c>
      <c r="E38" s="242">
        <v>80009</v>
      </c>
      <c r="F38" s="242">
        <v>82907.06</v>
      </c>
      <c r="G38" s="242">
        <v>95036.92</v>
      </c>
      <c r="H38" s="242">
        <v>72714.28</v>
      </c>
      <c r="I38" s="242">
        <v>79448.820000000007</v>
      </c>
      <c r="J38" s="242">
        <v>63524.68</v>
      </c>
      <c r="K38" s="242">
        <v>50207.519999999997</v>
      </c>
      <c r="L38" s="242">
        <v>48430.26</v>
      </c>
      <c r="M38" s="242">
        <v>54918.02</v>
      </c>
      <c r="N38" s="242">
        <v>52685.04</v>
      </c>
      <c r="O38" s="242">
        <v>820070.94</v>
      </c>
    </row>
    <row r="39" spans="1:15" x14ac:dyDescent="0.25">
      <c r="A39" s="241" t="s">
        <v>613</v>
      </c>
      <c r="B39" s="241" t="s">
        <v>585</v>
      </c>
      <c r="C39" s="242">
        <v>1694739.32</v>
      </c>
      <c r="D39" s="242">
        <v>1632022.18</v>
      </c>
      <c r="E39" s="242">
        <v>1667262.62</v>
      </c>
      <c r="F39" s="242">
        <v>1860573.82</v>
      </c>
      <c r="G39" s="242">
        <v>786743.49</v>
      </c>
      <c r="H39" s="242">
        <v>1562584.68</v>
      </c>
      <c r="I39" s="242">
        <v>1415003.53</v>
      </c>
      <c r="J39" s="242">
        <v>1353729.86</v>
      </c>
      <c r="K39" s="242">
        <v>1174217.6399999999</v>
      </c>
      <c r="L39" s="242">
        <v>1163159.97</v>
      </c>
      <c r="M39" s="242">
        <v>1230055.3600000001</v>
      </c>
      <c r="N39" s="242">
        <v>1175921</v>
      </c>
      <c r="O39" s="242">
        <v>16716013.470000001</v>
      </c>
    </row>
    <row r="40" spans="1:15" x14ac:dyDescent="0.25">
      <c r="A40" s="241" t="s">
        <v>614</v>
      </c>
      <c r="B40" s="241" t="s">
        <v>587</v>
      </c>
      <c r="C40" s="242">
        <v>889406.18</v>
      </c>
      <c r="D40" s="242">
        <v>823390.4</v>
      </c>
      <c r="E40" s="242">
        <v>863186.56</v>
      </c>
      <c r="F40" s="242">
        <v>895992.9</v>
      </c>
      <c r="G40" s="242">
        <v>399469.58</v>
      </c>
      <c r="H40" s="242">
        <v>764087.7</v>
      </c>
      <c r="I40" s="242">
        <v>732835.82</v>
      </c>
      <c r="J40" s="242">
        <v>652986.39</v>
      </c>
      <c r="K40" s="242">
        <v>581537.06999999995</v>
      </c>
      <c r="L40" s="242">
        <v>580896.78</v>
      </c>
      <c r="M40" s="242">
        <v>623035.1</v>
      </c>
      <c r="N40" s="242">
        <v>627541.55000000005</v>
      </c>
      <c r="O40" s="242">
        <v>8434366.0299999993</v>
      </c>
    </row>
    <row r="41" spans="1:15" x14ac:dyDescent="0.25">
      <c r="A41" s="241" t="s">
        <v>615</v>
      </c>
      <c r="B41" s="241" t="s">
        <v>589</v>
      </c>
      <c r="C41" s="242">
        <v>1715289.92</v>
      </c>
      <c r="D41" s="242">
        <v>1690844.06</v>
      </c>
      <c r="E41" s="242">
        <v>1750221.72</v>
      </c>
      <c r="F41" s="242">
        <v>2010480.34</v>
      </c>
      <c r="G41" s="242">
        <v>801760.42</v>
      </c>
      <c r="H41" s="242">
        <v>1523962.58</v>
      </c>
      <c r="I41" s="242">
        <v>1426675.18</v>
      </c>
      <c r="J41" s="242">
        <v>1365384.6</v>
      </c>
      <c r="K41" s="242">
        <v>1211702.1599999999</v>
      </c>
      <c r="L41" s="242">
        <v>1173766.1399999999</v>
      </c>
      <c r="M41" s="242">
        <v>1270555.52</v>
      </c>
      <c r="N41" s="242">
        <v>1226557.8</v>
      </c>
      <c r="O41" s="242">
        <v>17167200.440000001</v>
      </c>
    </row>
    <row r="42" spans="1:15" x14ac:dyDescent="0.25">
      <c r="A42" s="241" t="s">
        <v>616</v>
      </c>
      <c r="B42" s="241" t="s">
        <v>591</v>
      </c>
      <c r="C42" s="242">
        <v>48254.28</v>
      </c>
      <c r="D42" s="242">
        <v>65922.460000000006</v>
      </c>
      <c r="E42" s="242">
        <v>51304.62</v>
      </c>
      <c r="F42" s="242">
        <v>47415.42</v>
      </c>
      <c r="G42" s="242">
        <v>48029.02</v>
      </c>
      <c r="H42" s="242">
        <v>38434.379999999997</v>
      </c>
      <c r="I42" s="242">
        <v>37705.82</v>
      </c>
      <c r="J42" s="242">
        <v>40132.58</v>
      </c>
      <c r="K42" s="242">
        <v>39996.120000000003</v>
      </c>
      <c r="L42" s="242">
        <v>36651.72</v>
      </c>
      <c r="M42" s="242">
        <v>54350.32</v>
      </c>
      <c r="N42" s="242">
        <v>41286.74</v>
      </c>
      <c r="O42" s="242">
        <v>549483.48</v>
      </c>
    </row>
    <row r="43" spans="1:15" x14ac:dyDescent="0.25">
      <c r="A43" s="241" t="s">
        <v>618</v>
      </c>
      <c r="B43" s="241" t="s">
        <v>596</v>
      </c>
      <c r="C43" s="242">
        <v>17043.240000000002</v>
      </c>
      <c r="D43" s="242">
        <v>22361.32</v>
      </c>
      <c r="E43" s="242">
        <v>24181.89</v>
      </c>
      <c r="F43" s="242">
        <v>30563.89</v>
      </c>
      <c r="G43" s="242">
        <v>23077.26</v>
      </c>
      <c r="H43" s="242">
        <v>20544.27</v>
      </c>
      <c r="I43" s="242">
        <v>14608.97</v>
      </c>
      <c r="J43" s="242">
        <v>15024.62</v>
      </c>
      <c r="K43" s="242">
        <v>15622.82</v>
      </c>
      <c r="L43" s="242">
        <v>14325.86</v>
      </c>
      <c r="M43" s="242">
        <v>14494.77</v>
      </c>
      <c r="N43" s="242">
        <v>16375.17</v>
      </c>
      <c r="O43" s="242">
        <v>228224.08</v>
      </c>
    </row>
    <row r="44" spans="1:15" x14ac:dyDescent="0.25">
      <c r="A44" s="241" t="s">
        <v>619</v>
      </c>
      <c r="B44" s="241" t="s">
        <v>599</v>
      </c>
      <c r="C44" s="242">
        <v>31278.9</v>
      </c>
      <c r="D44" s="242">
        <v>42485.18</v>
      </c>
      <c r="E44" s="242">
        <v>52504.98</v>
      </c>
      <c r="F44" s="242">
        <v>35490.120000000003</v>
      </c>
      <c r="G44" s="242">
        <v>43043.38</v>
      </c>
      <c r="H44" s="242">
        <v>35409.74</v>
      </c>
      <c r="I44" s="242">
        <v>30160.6</v>
      </c>
      <c r="J44" s="242">
        <v>23733.279999999999</v>
      </c>
      <c r="K44" s="242">
        <v>18268.740000000002</v>
      </c>
      <c r="L44" s="242">
        <v>22715.74</v>
      </c>
      <c r="M44" s="242">
        <v>22265.62</v>
      </c>
      <c r="N44" s="242">
        <v>26749.040000000001</v>
      </c>
      <c r="O44" s="242">
        <v>384105.32</v>
      </c>
    </row>
    <row r="45" spans="1:15" x14ac:dyDescent="0.25">
      <c r="A45" s="241" t="s">
        <v>620</v>
      </c>
      <c r="B45" s="241" t="s">
        <v>601</v>
      </c>
      <c r="C45" s="242">
        <v>4037825.09</v>
      </c>
      <c r="D45" s="242">
        <v>4460536.3899999997</v>
      </c>
      <c r="E45" s="242">
        <v>5595207.3399999999</v>
      </c>
      <c r="F45" s="242">
        <v>6334521.6600000001</v>
      </c>
      <c r="G45" s="242">
        <v>5242818</v>
      </c>
      <c r="H45" s="242">
        <v>4044421.54</v>
      </c>
      <c r="I45" s="242">
        <v>3219662.97</v>
      </c>
      <c r="J45" s="242">
        <v>3054060.85</v>
      </c>
      <c r="K45" s="242">
        <v>2864383.6</v>
      </c>
      <c r="L45" s="242">
        <v>2698652.93</v>
      </c>
      <c r="M45" s="242">
        <v>2897106.42</v>
      </c>
      <c r="N45" s="242">
        <v>3191531.23</v>
      </c>
      <c r="O45" s="242">
        <v>47640728.020000003</v>
      </c>
    </row>
    <row r="46" spans="1:15" x14ac:dyDescent="0.25">
      <c r="A46" s="241" t="s">
        <v>621</v>
      </c>
      <c r="B46" s="241" t="s">
        <v>603</v>
      </c>
      <c r="C46" s="242">
        <v>-754633.82</v>
      </c>
      <c r="D46" s="242">
        <v>-841110.88</v>
      </c>
      <c r="E46" s="242">
        <v>-1007311.27</v>
      </c>
      <c r="F46" s="242">
        <v>-1025500.73</v>
      </c>
      <c r="G46" s="242">
        <v>-929524.26</v>
      </c>
      <c r="H46" s="242">
        <v>-763168.27</v>
      </c>
      <c r="I46" s="242">
        <v>-638742.28</v>
      </c>
      <c r="J46" s="242">
        <v>-680580.66</v>
      </c>
      <c r="K46" s="242">
        <v>-662176.12</v>
      </c>
      <c r="L46" s="242">
        <v>-676813.92</v>
      </c>
      <c r="M46" s="242">
        <v>-683684.06</v>
      </c>
      <c r="N46" s="242">
        <v>-617626.32999999996</v>
      </c>
      <c r="O46" s="242">
        <v>-9280872.5999999996</v>
      </c>
    </row>
    <row r="47" spans="1:15" x14ac:dyDescent="0.25">
      <c r="A47" s="241" t="s">
        <v>622</v>
      </c>
      <c r="B47" s="241" t="s">
        <v>623</v>
      </c>
      <c r="C47" s="242">
        <v>-4299435.42</v>
      </c>
      <c r="D47" s="242">
        <v>-4146256.64</v>
      </c>
      <c r="E47" s="242">
        <v>-4280670.9000000004</v>
      </c>
      <c r="F47" s="242">
        <v>-4767047.0599999996</v>
      </c>
      <c r="G47" s="242">
        <v>-1987973.49</v>
      </c>
      <c r="H47" s="242">
        <v>-3850634.96</v>
      </c>
      <c r="I47" s="242">
        <v>-3574514.53</v>
      </c>
      <c r="J47" s="242">
        <v>-3372100.85</v>
      </c>
      <c r="K47" s="242">
        <v>-2967456.87</v>
      </c>
      <c r="L47" s="242">
        <v>-2917822.89</v>
      </c>
      <c r="M47" s="242">
        <v>-3123645.98</v>
      </c>
      <c r="N47" s="242">
        <v>-3030020.35</v>
      </c>
      <c r="O47" s="242">
        <v>-42317579.939999998</v>
      </c>
    </row>
    <row r="48" spans="1:15" x14ac:dyDescent="0.25">
      <c r="A48" s="241" t="s">
        <v>624</v>
      </c>
      <c r="B48" s="241" t="s">
        <v>625</v>
      </c>
      <c r="C48" s="242">
        <v>-1112</v>
      </c>
      <c r="D48" s="242">
        <v>-4681.7</v>
      </c>
      <c r="E48" s="242">
        <v>-84786.83</v>
      </c>
      <c r="F48" s="242">
        <v>-107256.81</v>
      </c>
      <c r="G48" s="242">
        <v>16944.5</v>
      </c>
      <c r="H48" s="243"/>
      <c r="I48" s="242">
        <v>-13902.04</v>
      </c>
      <c r="J48" s="243"/>
      <c r="K48" s="243"/>
      <c r="L48" s="243"/>
      <c r="M48" s="243"/>
      <c r="N48" s="242">
        <v>-446.25</v>
      </c>
      <c r="O48" s="242">
        <v>-195241.13</v>
      </c>
    </row>
    <row r="49" spans="1:15" x14ac:dyDescent="0.25">
      <c r="A49" s="241" t="s">
        <v>626</v>
      </c>
      <c r="B49" s="241" t="s">
        <v>627</v>
      </c>
      <c r="C49" s="242">
        <v>101.65</v>
      </c>
      <c r="D49" s="242">
        <v>632.55999999999995</v>
      </c>
      <c r="E49" s="242">
        <v>32.18</v>
      </c>
      <c r="F49" s="242">
        <v>191.91</v>
      </c>
      <c r="G49" s="242">
        <v>129.76</v>
      </c>
      <c r="H49" s="242">
        <v>576.11</v>
      </c>
      <c r="I49" s="242">
        <v>353.57</v>
      </c>
      <c r="J49" s="242">
        <v>40.090000000000003</v>
      </c>
      <c r="K49" s="242">
        <v>277.37</v>
      </c>
      <c r="L49" s="242">
        <v>3.7</v>
      </c>
      <c r="M49" s="242">
        <v>-0.01</v>
      </c>
      <c r="N49" s="243"/>
      <c r="O49" s="242">
        <v>2338.89</v>
      </c>
    </row>
    <row r="50" spans="1:15" x14ac:dyDescent="0.25">
      <c r="A50" s="241" t="s">
        <v>628</v>
      </c>
      <c r="B50" s="241" t="s">
        <v>629</v>
      </c>
      <c r="C50" s="242">
        <v>-224371.91</v>
      </c>
      <c r="D50" s="242">
        <v>-220096.8</v>
      </c>
      <c r="E50" s="242">
        <v>-318102.40000000002</v>
      </c>
      <c r="F50" s="242">
        <v>-411330.53</v>
      </c>
      <c r="G50" s="242">
        <v>-407794.04</v>
      </c>
      <c r="H50" s="242">
        <v>-299693.92</v>
      </c>
      <c r="I50" s="242">
        <v>-206656.27</v>
      </c>
      <c r="J50" s="242">
        <v>-169584.19</v>
      </c>
      <c r="K50" s="242">
        <v>-25775.3</v>
      </c>
      <c r="L50" s="242">
        <v>-264504.53999999998</v>
      </c>
      <c r="M50" s="242">
        <v>-144576.47</v>
      </c>
      <c r="N50" s="242">
        <v>-156534.31</v>
      </c>
      <c r="O50" s="242">
        <v>-2849020.68</v>
      </c>
    </row>
    <row r="51" spans="1:15" x14ac:dyDescent="0.25">
      <c r="A51" s="241" t="s">
        <v>1508</v>
      </c>
      <c r="B51" s="241" t="s">
        <v>1509</v>
      </c>
      <c r="C51" s="243"/>
      <c r="D51" s="243"/>
      <c r="E51" s="243"/>
      <c r="F51" s="242">
        <v>20.64</v>
      </c>
      <c r="G51" s="243"/>
      <c r="H51" s="243"/>
      <c r="I51" s="242">
        <v>-1350</v>
      </c>
      <c r="J51" s="243"/>
      <c r="K51" s="243"/>
      <c r="L51" s="242">
        <v>-285.79000000000002</v>
      </c>
      <c r="M51" s="243"/>
      <c r="N51" s="242">
        <v>-0.03</v>
      </c>
      <c r="O51" s="242">
        <v>-1615.18</v>
      </c>
    </row>
    <row r="52" spans="1:15" x14ac:dyDescent="0.25">
      <c r="A52" s="241" t="s">
        <v>630</v>
      </c>
      <c r="B52" s="241" t="s">
        <v>605</v>
      </c>
      <c r="C52" s="244">
        <v>-135996.26999999999</v>
      </c>
      <c r="D52" s="244">
        <v>-216089.95</v>
      </c>
      <c r="E52" s="244">
        <v>-196198.76</v>
      </c>
      <c r="F52" s="244">
        <v>-332010.51</v>
      </c>
      <c r="G52" s="244">
        <v>-212870.78</v>
      </c>
      <c r="H52" s="244">
        <v>-217190.77</v>
      </c>
      <c r="I52" s="244">
        <v>-197246.15</v>
      </c>
      <c r="J52" s="244">
        <v>-111710.18</v>
      </c>
      <c r="K52" s="244">
        <v>-106761.07</v>
      </c>
      <c r="L52" s="244">
        <v>-187938.29</v>
      </c>
      <c r="M52" s="244">
        <v>-77887.039999999994</v>
      </c>
      <c r="N52" s="244">
        <v>-126432.68</v>
      </c>
      <c r="O52" s="244">
        <v>-2118332.4500000002</v>
      </c>
    </row>
    <row r="53" spans="1:15" x14ac:dyDescent="0.25">
      <c r="A53" s="239"/>
      <c r="B53" s="239" t="s">
        <v>631</v>
      </c>
      <c r="C53" s="245">
        <v>7390483.04</v>
      </c>
      <c r="D53" s="245">
        <v>7991266.0199999996</v>
      </c>
      <c r="E53" s="245">
        <v>10124904.17</v>
      </c>
      <c r="F53" s="245">
        <v>11218010.32</v>
      </c>
      <c r="G53" s="245">
        <v>9706122.3599999994</v>
      </c>
      <c r="H53" s="245">
        <v>7394818.5999999996</v>
      </c>
      <c r="I53" s="245">
        <v>6147779.96</v>
      </c>
      <c r="J53" s="245">
        <v>5910536.9299999997</v>
      </c>
      <c r="K53" s="245">
        <v>5745927.0800000001</v>
      </c>
      <c r="L53" s="245">
        <v>4988429.09</v>
      </c>
      <c r="M53" s="245">
        <v>5664941.46</v>
      </c>
      <c r="N53" s="245">
        <v>5855205.4000000004</v>
      </c>
      <c r="O53" s="245">
        <v>88138424.430000007</v>
      </c>
    </row>
    <row r="54" spans="1:15" x14ac:dyDescent="0.25">
      <c r="A54" s="235"/>
      <c r="B54" s="235"/>
      <c r="C54" s="236"/>
      <c r="D54" s="236"/>
      <c r="E54" s="236"/>
      <c r="F54" s="236"/>
      <c r="G54" s="236"/>
      <c r="H54" s="236"/>
      <c r="I54" s="236"/>
      <c r="J54" s="236"/>
      <c r="K54" s="236"/>
      <c r="L54" s="236"/>
      <c r="M54" s="236"/>
      <c r="N54" s="236"/>
      <c r="O54" s="236"/>
    </row>
    <row r="55" spans="1:15" x14ac:dyDescent="0.25">
      <c r="A55" s="239"/>
      <c r="B55" s="239" t="s">
        <v>632</v>
      </c>
      <c r="C55" s="240"/>
      <c r="D55" s="240"/>
      <c r="E55" s="240"/>
      <c r="F55" s="240"/>
      <c r="G55" s="240"/>
      <c r="H55" s="240"/>
      <c r="I55" s="240"/>
      <c r="J55" s="240"/>
      <c r="K55" s="240"/>
      <c r="L55" s="240"/>
      <c r="M55" s="240"/>
      <c r="N55" s="240"/>
      <c r="O55" s="240"/>
    </row>
    <row r="56" spans="1:15" x14ac:dyDescent="0.25">
      <c r="A56" s="241" t="s">
        <v>633</v>
      </c>
      <c r="B56" s="241" t="s">
        <v>585</v>
      </c>
      <c r="C56" s="242">
        <v>1059741.92</v>
      </c>
      <c r="D56" s="242">
        <v>978240.38</v>
      </c>
      <c r="E56" s="242">
        <v>669953.06000000006</v>
      </c>
      <c r="F56" s="242">
        <v>679967.82</v>
      </c>
      <c r="G56" s="242">
        <v>290512.08</v>
      </c>
      <c r="H56" s="242">
        <v>685950.28</v>
      </c>
      <c r="I56" s="242">
        <v>1038267.44</v>
      </c>
      <c r="J56" s="242">
        <v>890444.56</v>
      </c>
      <c r="K56" s="242">
        <v>785512.77</v>
      </c>
      <c r="L56" s="242">
        <v>942201.28</v>
      </c>
      <c r="M56" s="242">
        <v>938112.08</v>
      </c>
      <c r="N56" s="242">
        <v>957267.37</v>
      </c>
      <c r="O56" s="242">
        <v>9916171.0399999991</v>
      </c>
    </row>
    <row r="57" spans="1:15" x14ac:dyDescent="0.25">
      <c r="A57" s="241" t="s">
        <v>634</v>
      </c>
      <c r="B57" s="241" t="s">
        <v>587</v>
      </c>
      <c r="C57" s="242">
        <v>469096.92</v>
      </c>
      <c r="D57" s="242">
        <v>455990.3</v>
      </c>
      <c r="E57" s="242">
        <v>345520.78</v>
      </c>
      <c r="F57" s="242">
        <v>363738.22</v>
      </c>
      <c r="G57" s="242">
        <v>236409.79</v>
      </c>
      <c r="H57" s="242">
        <v>329057.17</v>
      </c>
      <c r="I57" s="242">
        <v>455219.27</v>
      </c>
      <c r="J57" s="242">
        <v>433656.44</v>
      </c>
      <c r="K57" s="242">
        <v>332699.88</v>
      </c>
      <c r="L57" s="242">
        <v>462040.74</v>
      </c>
      <c r="M57" s="242">
        <v>469122.51</v>
      </c>
      <c r="N57" s="242">
        <v>373804.45</v>
      </c>
      <c r="O57" s="242">
        <v>4726356.47</v>
      </c>
    </row>
    <row r="58" spans="1:15" x14ac:dyDescent="0.25">
      <c r="A58" s="241" t="s">
        <v>635</v>
      </c>
      <c r="B58" s="241" t="s">
        <v>589</v>
      </c>
      <c r="C58" s="242">
        <v>1088088.1599999999</v>
      </c>
      <c r="D58" s="242">
        <v>972841.24</v>
      </c>
      <c r="E58" s="242">
        <v>678547.42</v>
      </c>
      <c r="F58" s="242">
        <v>718515.32</v>
      </c>
      <c r="G58" s="242">
        <v>428766.44</v>
      </c>
      <c r="H58" s="242">
        <v>722027.94</v>
      </c>
      <c r="I58" s="242">
        <v>1041135.92</v>
      </c>
      <c r="J58" s="242">
        <v>1045309.28</v>
      </c>
      <c r="K58" s="242">
        <v>849937.56</v>
      </c>
      <c r="L58" s="242">
        <v>903665.34</v>
      </c>
      <c r="M58" s="242">
        <v>938128.24</v>
      </c>
      <c r="N58" s="242">
        <v>1012279.28</v>
      </c>
      <c r="O58" s="242">
        <v>10399242.140000001</v>
      </c>
    </row>
    <row r="59" spans="1:15" x14ac:dyDescent="0.25">
      <c r="A59" s="241" t="s">
        <v>636</v>
      </c>
      <c r="B59" s="241" t="s">
        <v>637</v>
      </c>
      <c r="C59" s="242">
        <v>355.06</v>
      </c>
      <c r="D59" s="242">
        <v>83.32</v>
      </c>
      <c r="E59" s="242">
        <v>2134.7199999999998</v>
      </c>
      <c r="F59" s="242">
        <v>-21184.39</v>
      </c>
      <c r="G59" s="242">
        <v>1608.27</v>
      </c>
      <c r="H59" s="242">
        <v>1899.97</v>
      </c>
      <c r="I59" s="242">
        <v>338.12</v>
      </c>
      <c r="J59" s="242">
        <v>1120.72</v>
      </c>
      <c r="K59" s="242">
        <v>1895.06</v>
      </c>
      <c r="L59" s="242">
        <v>6223.81</v>
      </c>
      <c r="M59" s="242">
        <v>3487.76</v>
      </c>
      <c r="N59" s="242">
        <v>2552.64</v>
      </c>
      <c r="O59" s="242">
        <v>515.05999999999995</v>
      </c>
    </row>
    <row r="60" spans="1:15" x14ac:dyDescent="0.25">
      <c r="A60" s="241" t="s">
        <v>1596</v>
      </c>
      <c r="B60" s="241" t="s">
        <v>593</v>
      </c>
      <c r="C60" s="243"/>
      <c r="D60" s="243"/>
      <c r="E60" s="243"/>
      <c r="F60" s="243"/>
      <c r="G60" s="243"/>
      <c r="H60" s="243"/>
      <c r="I60" s="243"/>
      <c r="J60" s="242">
        <v>993.7</v>
      </c>
      <c r="K60" s="242">
        <v>366.1</v>
      </c>
      <c r="L60" s="242">
        <v>836.8</v>
      </c>
      <c r="M60" s="242">
        <v>261.5</v>
      </c>
      <c r="N60" s="242">
        <v>679.9</v>
      </c>
      <c r="O60" s="242">
        <v>3138</v>
      </c>
    </row>
    <row r="61" spans="1:15" x14ac:dyDescent="0.25">
      <c r="A61" s="241" t="s">
        <v>638</v>
      </c>
      <c r="B61" s="241" t="s">
        <v>594</v>
      </c>
      <c r="C61" s="242">
        <v>17908.8</v>
      </c>
      <c r="D61" s="242">
        <v>15830.1</v>
      </c>
      <c r="E61" s="242">
        <v>13325</v>
      </c>
      <c r="F61" s="242">
        <v>12765.35</v>
      </c>
      <c r="G61" s="242">
        <v>14494.25</v>
      </c>
      <c r="H61" s="242">
        <v>11645.62</v>
      </c>
      <c r="I61" s="242">
        <v>27825.42</v>
      </c>
      <c r="J61" s="242">
        <v>14976.14</v>
      </c>
      <c r="K61" s="242">
        <v>39236.480000000003</v>
      </c>
      <c r="L61" s="242">
        <v>23868.78</v>
      </c>
      <c r="M61" s="242">
        <v>38591.4</v>
      </c>
      <c r="N61" s="242">
        <v>46043.360000000001</v>
      </c>
      <c r="O61" s="242">
        <v>276510.7</v>
      </c>
    </row>
    <row r="62" spans="1:15" x14ac:dyDescent="0.25">
      <c r="A62" s="241" t="s">
        <v>639</v>
      </c>
      <c r="B62" s="241" t="s">
        <v>601</v>
      </c>
      <c r="C62" s="242">
        <v>-6404.57</v>
      </c>
      <c r="D62" s="242">
        <v>-5338.29</v>
      </c>
      <c r="E62" s="242">
        <v>-3176.27</v>
      </c>
      <c r="F62" s="242">
        <v>-5313.02</v>
      </c>
      <c r="G62" s="242">
        <v>-6214.34</v>
      </c>
      <c r="H62" s="242">
        <v>-5780.08</v>
      </c>
      <c r="I62" s="242">
        <v>-7012.06</v>
      </c>
      <c r="J62" s="242">
        <v>-4651.76</v>
      </c>
      <c r="K62" s="242">
        <v>-5121.18</v>
      </c>
      <c r="L62" s="242">
        <v>-5577.29</v>
      </c>
      <c r="M62" s="242">
        <v>-5783.71</v>
      </c>
      <c r="N62" s="242">
        <v>-6476.94</v>
      </c>
      <c r="O62" s="242">
        <v>-66849.509999999995</v>
      </c>
    </row>
    <row r="63" spans="1:15" x14ac:dyDescent="0.25">
      <c r="A63" s="241" t="s">
        <v>640</v>
      </c>
      <c r="B63" s="241" t="s">
        <v>603</v>
      </c>
      <c r="C63" s="243"/>
      <c r="D63" s="243"/>
      <c r="E63" s="243"/>
      <c r="F63" s="243"/>
      <c r="G63" s="242">
        <v>-1412.1</v>
      </c>
      <c r="H63" s="243"/>
      <c r="I63" s="242">
        <v>-6965.63</v>
      </c>
      <c r="J63" s="242">
        <v>-384.75</v>
      </c>
      <c r="K63" s="242">
        <v>-17208.04</v>
      </c>
      <c r="L63" s="242">
        <v>-43765.99</v>
      </c>
      <c r="M63" s="242">
        <v>-24945.5</v>
      </c>
      <c r="N63" s="242">
        <v>-19582.310000000001</v>
      </c>
      <c r="O63" s="242">
        <v>-114264.32000000001</v>
      </c>
    </row>
    <row r="64" spans="1:15" x14ac:dyDescent="0.25">
      <c r="A64" s="241" t="s">
        <v>641</v>
      </c>
      <c r="B64" s="241" t="s">
        <v>623</v>
      </c>
      <c r="C64" s="242">
        <v>-1712012.88</v>
      </c>
      <c r="D64" s="242">
        <v>-1596367.73</v>
      </c>
      <c r="E64" s="242">
        <v>-1115632.71</v>
      </c>
      <c r="F64" s="242">
        <v>-1184169.3999999999</v>
      </c>
      <c r="G64" s="242">
        <v>-477503.26</v>
      </c>
      <c r="H64" s="242">
        <v>-1214390.83</v>
      </c>
      <c r="I64" s="242">
        <v>-1580927.43</v>
      </c>
      <c r="J64" s="242">
        <v>-1532114.24</v>
      </c>
      <c r="K64" s="242">
        <v>-1227387.31</v>
      </c>
      <c r="L64" s="242">
        <v>-1499081.24</v>
      </c>
      <c r="M64" s="242">
        <v>-1533856.23</v>
      </c>
      <c r="N64" s="242">
        <v>-1513538.88</v>
      </c>
      <c r="O64" s="242">
        <v>-16186982.140000001</v>
      </c>
    </row>
    <row r="65" spans="1:15" x14ac:dyDescent="0.25">
      <c r="A65" s="241" t="s">
        <v>642</v>
      </c>
      <c r="B65" s="241" t="s">
        <v>627</v>
      </c>
      <c r="C65" s="242">
        <v>261.27999999999997</v>
      </c>
      <c r="D65" s="242">
        <v>4.46</v>
      </c>
      <c r="E65" s="242">
        <v>13.7</v>
      </c>
      <c r="F65" s="242">
        <v>-232.96</v>
      </c>
      <c r="G65" s="242">
        <v>-4.05</v>
      </c>
      <c r="H65" s="242">
        <v>378.15</v>
      </c>
      <c r="I65" s="242">
        <v>-643.92999999999995</v>
      </c>
      <c r="J65" s="242">
        <v>-13.56</v>
      </c>
      <c r="K65" s="242">
        <v>18.28</v>
      </c>
      <c r="L65" s="242">
        <v>-172.01</v>
      </c>
      <c r="M65" s="242">
        <v>124.39</v>
      </c>
      <c r="N65" s="242">
        <v>72.67</v>
      </c>
      <c r="O65" s="242">
        <v>-193.58</v>
      </c>
    </row>
    <row r="66" spans="1:15" x14ac:dyDescent="0.25">
      <c r="A66" s="241" t="s">
        <v>643</v>
      </c>
      <c r="B66" s="241" t="s">
        <v>605</v>
      </c>
      <c r="C66" s="244">
        <v>-1417.2</v>
      </c>
      <c r="D66" s="244">
        <v>-2425.35</v>
      </c>
      <c r="E66" s="244">
        <v>5479.48</v>
      </c>
      <c r="F66" s="244">
        <v>980.4</v>
      </c>
      <c r="G66" s="244">
        <v>2789.3</v>
      </c>
      <c r="H66" s="244">
        <v>1726.26</v>
      </c>
      <c r="I66" s="244">
        <v>-1160.77</v>
      </c>
      <c r="J66" s="244">
        <v>-11370.03</v>
      </c>
      <c r="K66" s="244">
        <v>-6762.69</v>
      </c>
      <c r="L66" s="244">
        <v>-523.41</v>
      </c>
      <c r="M66" s="244">
        <v>-2906.07</v>
      </c>
      <c r="N66" s="244">
        <v>-3509.29</v>
      </c>
      <c r="O66" s="244">
        <v>-19099.37</v>
      </c>
    </row>
    <row r="67" spans="1:15" x14ac:dyDescent="0.25">
      <c r="A67" s="239"/>
      <c r="B67" s="239" t="s">
        <v>644</v>
      </c>
      <c r="C67" s="245">
        <v>915617.49</v>
      </c>
      <c r="D67" s="245">
        <v>818858.43</v>
      </c>
      <c r="E67" s="245">
        <v>596165.18000000005</v>
      </c>
      <c r="F67" s="245">
        <v>565067.34</v>
      </c>
      <c r="G67" s="245">
        <v>489446.38</v>
      </c>
      <c r="H67" s="245">
        <v>532514.48</v>
      </c>
      <c r="I67" s="245">
        <v>966076.35</v>
      </c>
      <c r="J67" s="245">
        <v>837966.5</v>
      </c>
      <c r="K67" s="245">
        <v>753186.91</v>
      </c>
      <c r="L67" s="245">
        <v>789716.81</v>
      </c>
      <c r="M67" s="245">
        <v>820336.37</v>
      </c>
      <c r="N67" s="245">
        <v>849592.25</v>
      </c>
      <c r="O67" s="245">
        <v>8934544.4900000002</v>
      </c>
    </row>
    <row r="68" spans="1:15" x14ac:dyDescent="0.25">
      <c r="A68" s="235"/>
      <c r="B68" s="235"/>
      <c r="C68" s="236"/>
      <c r="D68" s="236"/>
      <c r="E68" s="236"/>
      <c r="F68" s="236"/>
      <c r="G68" s="236"/>
      <c r="H68" s="236"/>
      <c r="I68" s="236"/>
      <c r="J68" s="236"/>
      <c r="K68" s="236"/>
      <c r="L68" s="236"/>
      <c r="M68" s="236"/>
      <c r="N68" s="236"/>
      <c r="O68" s="236"/>
    </row>
    <row r="69" spans="1:15" x14ac:dyDescent="0.25">
      <c r="A69" s="239"/>
      <c r="B69" s="239" t="s">
        <v>645</v>
      </c>
      <c r="C69" s="240"/>
      <c r="D69" s="240"/>
      <c r="E69" s="240"/>
      <c r="F69" s="240"/>
      <c r="G69" s="240"/>
      <c r="H69" s="240"/>
      <c r="I69" s="240"/>
      <c r="J69" s="240"/>
      <c r="K69" s="240"/>
      <c r="L69" s="240"/>
      <c r="M69" s="240"/>
      <c r="N69" s="240"/>
      <c r="O69" s="240"/>
    </row>
    <row r="70" spans="1:15" x14ac:dyDescent="0.25">
      <c r="A70" s="241" t="s">
        <v>646</v>
      </c>
      <c r="B70" s="241" t="s">
        <v>585</v>
      </c>
      <c r="C70" s="242">
        <v>559680.30000000005</v>
      </c>
      <c r="D70" s="242">
        <v>534885.69999999995</v>
      </c>
      <c r="E70" s="242">
        <v>431408.34</v>
      </c>
      <c r="F70" s="242">
        <v>450643.5</v>
      </c>
      <c r="G70" s="242">
        <v>174813.79</v>
      </c>
      <c r="H70" s="242">
        <v>443895.9</v>
      </c>
      <c r="I70" s="242">
        <v>563232.1</v>
      </c>
      <c r="J70" s="242">
        <v>608240.97</v>
      </c>
      <c r="K70" s="242">
        <v>555448.43999999994</v>
      </c>
      <c r="L70" s="242">
        <v>599334.48</v>
      </c>
      <c r="M70" s="242">
        <v>568310.42000000004</v>
      </c>
      <c r="N70" s="242">
        <v>531530.02</v>
      </c>
      <c r="O70" s="242">
        <v>6021423.96</v>
      </c>
    </row>
    <row r="71" spans="1:15" x14ac:dyDescent="0.25">
      <c r="A71" s="241" t="s">
        <v>647</v>
      </c>
      <c r="B71" s="241" t="s">
        <v>587</v>
      </c>
      <c r="C71" s="242">
        <v>232131.32</v>
      </c>
      <c r="D71" s="242">
        <v>230097.58</v>
      </c>
      <c r="E71" s="242">
        <v>170349.7</v>
      </c>
      <c r="F71" s="242">
        <v>231374.82</v>
      </c>
      <c r="G71" s="242">
        <v>175553.54</v>
      </c>
      <c r="H71" s="242">
        <v>246755.28</v>
      </c>
      <c r="I71" s="242">
        <v>227532.94</v>
      </c>
      <c r="J71" s="242">
        <v>272549.01</v>
      </c>
      <c r="K71" s="242">
        <v>307807.88</v>
      </c>
      <c r="L71" s="242">
        <v>258914.72</v>
      </c>
      <c r="M71" s="242">
        <v>262667.13</v>
      </c>
      <c r="N71" s="242">
        <v>224299.46</v>
      </c>
      <c r="O71" s="242">
        <v>2840033.38</v>
      </c>
    </row>
    <row r="72" spans="1:15" x14ac:dyDescent="0.25">
      <c r="A72" s="241" t="s">
        <v>648</v>
      </c>
      <c r="B72" s="241" t="s">
        <v>589</v>
      </c>
      <c r="C72" s="242">
        <v>501818.06</v>
      </c>
      <c r="D72" s="242">
        <v>495954.5</v>
      </c>
      <c r="E72" s="242">
        <v>420158.5</v>
      </c>
      <c r="F72" s="242">
        <v>440740.86</v>
      </c>
      <c r="G72" s="242">
        <v>210388.62</v>
      </c>
      <c r="H72" s="242">
        <v>388938.34</v>
      </c>
      <c r="I72" s="242">
        <v>453937.89</v>
      </c>
      <c r="J72" s="242">
        <v>543795.46</v>
      </c>
      <c r="K72" s="242">
        <v>530007.62</v>
      </c>
      <c r="L72" s="242">
        <v>522733.06</v>
      </c>
      <c r="M72" s="242">
        <v>476717.64</v>
      </c>
      <c r="N72" s="242">
        <v>485104.96</v>
      </c>
      <c r="O72" s="242">
        <v>5470295.5099999998</v>
      </c>
    </row>
    <row r="73" spans="1:15" x14ac:dyDescent="0.25">
      <c r="A73" s="241" t="s">
        <v>1561</v>
      </c>
      <c r="B73" s="241" t="s">
        <v>637</v>
      </c>
      <c r="C73" s="243"/>
      <c r="D73" s="243"/>
      <c r="E73" s="243"/>
      <c r="F73" s="243"/>
      <c r="G73" s="243"/>
      <c r="H73" s="242">
        <v>10.17</v>
      </c>
      <c r="I73" s="243"/>
      <c r="J73" s="242">
        <v>576.97</v>
      </c>
      <c r="K73" s="243"/>
      <c r="L73" s="243"/>
      <c r="M73" s="242">
        <v>135.91999999999999</v>
      </c>
      <c r="N73" s="242">
        <v>483.16</v>
      </c>
      <c r="O73" s="242">
        <v>1206.22</v>
      </c>
    </row>
    <row r="74" spans="1:15" x14ac:dyDescent="0.25">
      <c r="A74" s="241" t="s">
        <v>1577</v>
      </c>
      <c r="B74" s="241" t="s">
        <v>594</v>
      </c>
      <c r="C74" s="243"/>
      <c r="D74" s="243"/>
      <c r="E74" s="243"/>
      <c r="F74" s="243"/>
      <c r="G74" s="243"/>
      <c r="H74" s="243"/>
      <c r="I74" s="242">
        <v>1202.9000000000001</v>
      </c>
      <c r="J74" s="242">
        <v>418.4</v>
      </c>
      <c r="K74" s="242">
        <v>5386.9</v>
      </c>
      <c r="L74" s="242">
        <v>10616.9</v>
      </c>
      <c r="M74" s="242">
        <v>5753</v>
      </c>
      <c r="N74" s="242">
        <v>5282.3</v>
      </c>
      <c r="O74" s="242">
        <v>28660.400000000001</v>
      </c>
    </row>
    <row r="75" spans="1:15" x14ac:dyDescent="0.25">
      <c r="A75" s="241" t="s">
        <v>649</v>
      </c>
      <c r="B75" s="241" t="s">
        <v>601</v>
      </c>
      <c r="C75" s="243"/>
      <c r="D75" s="242">
        <v>-488.28</v>
      </c>
      <c r="E75" s="243"/>
      <c r="F75" s="242">
        <v>-354</v>
      </c>
      <c r="G75" s="242">
        <v>-1355.34</v>
      </c>
      <c r="H75" s="242">
        <v>-1149.1099999999999</v>
      </c>
      <c r="I75" s="242">
        <v>-1158.72</v>
      </c>
      <c r="J75" s="242">
        <v>-6229.26</v>
      </c>
      <c r="K75" s="242">
        <v>-2542.23</v>
      </c>
      <c r="L75" s="242">
        <v>-1039.55</v>
      </c>
      <c r="M75" s="242">
        <v>-9260.5</v>
      </c>
      <c r="N75" s="242">
        <v>-2330.7199999999998</v>
      </c>
      <c r="O75" s="242">
        <v>-25907.71</v>
      </c>
    </row>
    <row r="76" spans="1:15" x14ac:dyDescent="0.25">
      <c r="A76" s="241" t="s">
        <v>1578</v>
      </c>
      <c r="B76" s="241" t="s">
        <v>603</v>
      </c>
      <c r="C76" s="243"/>
      <c r="D76" s="243"/>
      <c r="E76" s="243"/>
      <c r="F76" s="243"/>
      <c r="G76" s="243"/>
      <c r="H76" s="243"/>
      <c r="I76" s="242">
        <v>-412.4</v>
      </c>
      <c r="J76" s="242">
        <v>-205.2</v>
      </c>
      <c r="K76" s="242">
        <v>-923.4</v>
      </c>
      <c r="L76" s="242">
        <v>-2590.65</v>
      </c>
      <c r="M76" s="242">
        <v>-1615.95</v>
      </c>
      <c r="N76" s="242">
        <v>-1513.35</v>
      </c>
      <c r="O76" s="242">
        <v>-7260.95</v>
      </c>
    </row>
    <row r="77" spans="1:15" x14ac:dyDescent="0.25">
      <c r="A77" s="241" t="s">
        <v>650</v>
      </c>
      <c r="B77" s="241" t="s">
        <v>623</v>
      </c>
      <c r="C77" s="242">
        <v>-871329.37</v>
      </c>
      <c r="D77" s="242">
        <v>-844676.8</v>
      </c>
      <c r="E77" s="242">
        <v>-727479.3</v>
      </c>
      <c r="F77" s="242">
        <v>-795435.66</v>
      </c>
      <c r="G77" s="242">
        <v>-207545.79</v>
      </c>
      <c r="H77" s="242">
        <v>-758014.78</v>
      </c>
      <c r="I77" s="242">
        <v>-834026.05</v>
      </c>
      <c r="J77" s="242">
        <v>-997506.9</v>
      </c>
      <c r="K77" s="242">
        <v>-961423.86</v>
      </c>
      <c r="L77" s="242">
        <v>-961890.48</v>
      </c>
      <c r="M77" s="242">
        <v>-895987.33</v>
      </c>
      <c r="N77" s="242">
        <v>-892143.18</v>
      </c>
      <c r="O77" s="242">
        <v>-9747459.5</v>
      </c>
    </row>
    <row r="78" spans="1:15" x14ac:dyDescent="0.25">
      <c r="A78" s="241" t="s">
        <v>651</v>
      </c>
      <c r="B78" s="241" t="s">
        <v>627</v>
      </c>
      <c r="C78" s="242">
        <v>-4298.18</v>
      </c>
      <c r="D78" s="242">
        <v>-4635.7700000000004</v>
      </c>
      <c r="E78" s="242">
        <v>-3845.25</v>
      </c>
      <c r="F78" s="242">
        <v>-4267.32</v>
      </c>
      <c r="G78" s="242">
        <v>-3736.23</v>
      </c>
      <c r="H78" s="242">
        <v>-4597.3599999999997</v>
      </c>
      <c r="I78" s="242">
        <v>-4851.9399999999996</v>
      </c>
      <c r="J78" s="242">
        <v>-5032.58</v>
      </c>
      <c r="K78" s="242">
        <v>-5108.28</v>
      </c>
      <c r="L78" s="242">
        <v>-5130.3599999999997</v>
      </c>
      <c r="M78" s="242">
        <v>-5014.17</v>
      </c>
      <c r="N78" s="242">
        <v>-3835.98</v>
      </c>
      <c r="O78" s="242">
        <v>-54353.42</v>
      </c>
    </row>
    <row r="79" spans="1:15" x14ac:dyDescent="0.25">
      <c r="A79" s="241" t="s">
        <v>1597</v>
      </c>
      <c r="B79" s="241" t="s">
        <v>1598</v>
      </c>
      <c r="C79" s="243"/>
      <c r="D79" s="243"/>
      <c r="E79" s="243"/>
      <c r="F79" s="243"/>
      <c r="G79" s="243"/>
      <c r="H79" s="243"/>
      <c r="I79" s="243"/>
      <c r="J79" s="242">
        <v>21.66</v>
      </c>
      <c r="K79" s="243"/>
      <c r="L79" s="242">
        <v>-14.05</v>
      </c>
      <c r="M79" s="243"/>
      <c r="N79" s="243"/>
      <c r="O79" s="242">
        <v>7.61</v>
      </c>
    </row>
    <row r="80" spans="1:15" x14ac:dyDescent="0.25">
      <c r="A80" s="241" t="s">
        <v>652</v>
      </c>
      <c r="B80" s="241" t="s">
        <v>605</v>
      </c>
      <c r="C80" s="244">
        <v>-9960.57</v>
      </c>
      <c r="D80" s="244">
        <v>-9331.2099999999991</v>
      </c>
      <c r="E80" s="244">
        <v>4303.54</v>
      </c>
      <c r="F80" s="244">
        <v>-9276.74</v>
      </c>
      <c r="G80" s="244">
        <v>-5387.02</v>
      </c>
      <c r="H80" s="244">
        <v>1835.67</v>
      </c>
      <c r="I80" s="244">
        <v>3845.08</v>
      </c>
      <c r="J80" s="244">
        <v>-24725.62</v>
      </c>
      <c r="K80" s="244">
        <v>-2373.42</v>
      </c>
      <c r="L80" s="244">
        <v>-4523.2299999999996</v>
      </c>
      <c r="M80" s="244">
        <v>-2817.15</v>
      </c>
      <c r="N80" s="244">
        <v>-5416.72</v>
      </c>
      <c r="O80" s="244">
        <v>-63827.39</v>
      </c>
    </row>
    <row r="81" spans="1:15" x14ac:dyDescent="0.25">
      <c r="A81" s="239"/>
      <c r="B81" s="239" t="s">
        <v>653</v>
      </c>
      <c r="C81" s="245">
        <v>408041.56</v>
      </c>
      <c r="D81" s="245">
        <v>401805.72</v>
      </c>
      <c r="E81" s="245">
        <v>294895.53000000003</v>
      </c>
      <c r="F81" s="245">
        <v>313425.46000000002</v>
      </c>
      <c r="G81" s="245">
        <v>342731.57</v>
      </c>
      <c r="H81" s="245">
        <v>317674.11</v>
      </c>
      <c r="I81" s="245">
        <v>409301.8</v>
      </c>
      <c r="J81" s="245">
        <v>391902.91</v>
      </c>
      <c r="K81" s="245">
        <v>426279.65</v>
      </c>
      <c r="L81" s="245">
        <v>416410.84</v>
      </c>
      <c r="M81" s="245">
        <v>398889.01</v>
      </c>
      <c r="N81" s="245">
        <v>341459.95</v>
      </c>
      <c r="O81" s="245">
        <v>4462818.1100000003</v>
      </c>
    </row>
    <row r="82" spans="1:15" x14ac:dyDescent="0.25">
      <c r="A82" s="235"/>
      <c r="B82" s="235"/>
      <c r="C82" s="236"/>
      <c r="D82" s="236"/>
      <c r="E82" s="236"/>
      <c r="F82" s="236"/>
      <c r="G82" s="236"/>
      <c r="H82" s="236"/>
      <c r="I82" s="236"/>
      <c r="J82" s="236"/>
      <c r="K82" s="236"/>
      <c r="L82" s="236"/>
      <c r="M82" s="236"/>
      <c r="N82" s="236"/>
      <c r="O82" s="236"/>
    </row>
    <row r="83" spans="1:15" x14ac:dyDescent="0.25">
      <c r="A83" s="239"/>
      <c r="B83" s="239" t="s">
        <v>654</v>
      </c>
      <c r="C83" s="240"/>
      <c r="D83" s="240"/>
      <c r="E83" s="240"/>
      <c r="F83" s="240"/>
      <c r="G83" s="240"/>
      <c r="H83" s="240"/>
      <c r="I83" s="240"/>
      <c r="J83" s="240"/>
      <c r="K83" s="240"/>
      <c r="L83" s="240"/>
      <c r="M83" s="240"/>
      <c r="N83" s="240"/>
      <c r="O83" s="240"/>
    </row>
    <row r="84" spans="1:15" x14ac:dyDescent="0.25">
      <c r="A84" s="241" t="s">
        <v>1518</v>
      </c>
      <c r="B84" s="241" t="s">
        <v>573</v>
      </c>
      <c r="C84" s="243"/>
      <c r="D84" s="243"/>
      <c r="E84" s="243"/>
      <c r="F84" s="243"/>
      <c r="G84" s="242">
        <v>27880</v>
      </c>
      <c r="H84" s="242">
        <v>20500</v>
      </c>
      <c r="I84" s="242">
        <v>127100</v>
      </c>
      <c r="J84" s="242">
        <v>78720</v>
      </c>
      <c r="K84" s="242">
        <v>76260</v>
      </c>
      <c r="L84" s="242">
        <v>135300</v>
      </c>
      <c r="M84" s="242">
        <v>98400</v>
      </c>
      <c r="N84" s="242">
        <v>91840</v>
      </c>
      <c r="O84" s="242">
        <v>656000</v>
      </c>
    </row>
    <row r="85" spans="1:15" x14ac:dyDescent="0.25">
      <c r="A85" s="241" t="s">
        <v>1579</v>
      </c>
      <c r="B85" s="241" t="s">
        <v>577</v>
      </c>
      <c r="C85" s="243"/>
      <c r="D85" s="243"/>
      <c r="E85" s="243"/>
      <c r="F85" s="243"/>
      <c r="G85" s="243"/>
      <c r="H85" s="243"/>
      <c r="I85" s="242">
        <v>1667.31</v>
      </c>
      <c r="J85" s="242">
        <v>266.8</v>
      </c>
      <c r="K85" s="242">
        <v>1300.97</v>
      </c>
      <c r="L85" s="242">
        <v>814.37</v>
      </c>
      <c r="M85" s="242">
        <v>1864.77</v>
      </c>
      <c r="N85" s="242">
        <v>1487.15</v>
      </c>
      <c r="O85" s="242">
        <v>7401.37</v>
      </c>
    </row>
    <row r="86" spans="1:15" x14ac:dyDescent="0.25">
      <c r="A86" s="241" t="s">
        <v>1580</v>
      </c>
      <c r="B86" s="241" t="s">
        <v>581</v>
      </c>
      <c r="C86" s="243"/>
      <c r="D86" s="243"/>
      <c r="E86" s="243"/>
      <c r="F86" s="243"/>
      <c r="G86" s="243"/>
      <c r="H86" s="243"/>
      <c r="I86" s="242">
        <v>180.6</v>
      </c>
      <c r="J86" s="243"/>
      <c r="K86" s="242">
        <v>35.72</v>
      </c>
      <c r="L86" s="243"/>
      <c r="M86" s="243"/>
      <c r="N86" s="243"/>
      <c r="O86" s="242">
        <v>216.32</v>
      </c>
    </row>
    <row r="87" spans="1:15" x14ac:dyDescent="0.25">
      <c r="A87" s="241" t="s">
        <v>1581</v>
      </c>
      <c r="B87" s="241" t="s">
        <v>585</v>
      </c>
      <c r="C87" s="243"/>
      <c r="D87" s="243"/>
      <c r="E87" s="243"/>
      <c r="F87" s="243"/>
      <c r="G87" s="243"/>
      <c r="H87" s="243"/>
      <c r="I87" s="242">
        <v>3112.94</v>
      </c>
      <c r="J87" s="243"/>
      <c r="K87" s="243"/>
      <c r="L87" s="243"/>
      <c r="M87" s="243"/>
      <c r="N87" s="243"/>
      <c r="O87" s="242">
        <v>3112.94</v>
      </c>
    </row>
    <row r="88" spans="1:15" x14ac:dyDescent="0.25">
      <c r="A88" s="241" t="s">
        <v>1582</v>
      </c>
      <c r="B88" s="241" t="s">
        <v>589</v>
      </c>
      <c r="C88" s="243"/>
      <c r="D88" s="243"/>
      <c r="E88" s="243"/>
      <c r="F88" s="243"/>
      <c r="G88" s="243"/>
      <c r="H88" s="243"/>
      <c r="I88" s="242">
        <v>4073.3</v>
      </c>
      <c r="J88" s="243"/>
      <c r="K88" s="243"/>
      <c r="L88" s="243"/>
      <c r="M88" s="243"/>
      <c r="N88" s="243"/>
      <c r="O88" s="242">
        <v>4073.3</v>
      </c>
    </row>
    <row r="89" spans="1:15" x14ac:dyDescent="0.25">
      <c r="A89" s="241" t="s">
        <v>1583</v>
      </c>
      <c r="B89" s="241" t="s">
        <v>591</v>
      </c>
      <c r="C89" s="243"/>
      <c r="D89" s="243"/>
      <c r="E89" s="243"/>
      <c r="F89" s="243"/>
      <c r="G89" s="243"/>
      <c r="H89" s="243"/>
      <c r="I89" s="242">
        <v>1540</v>
      </c>
      <c r="J89" s="242">
        <v>380</v>
      </c>
      <c r="K89" s="243"/>
      <c r="L89" s="243"/>
      <c r="M89" s="243"/>
      <c r="N89" s="243"/>
      <c r="O89" s="242">
        <v>1920</v>
      </c>
    </row>
    <row r="90" spans="1:15" x14ac:dyDescent="0.25">
      <c r="A90" s="241" t="s">
        <v>655</v>
      </c>
      <c r="B90" s="241" t="s">
        <v>601</v>
      </c>
      <c r="C90" s="243"/>
      <c r="D90" s="242">
        <v>-1338</v>
      </c>
      <c r="E90" s="242">
        <v>-172.51</v>
      </c>
      <c r="F90" s="243"/>
      <c r="G90" s="242">
        <v>-18966.38</v>
      </c>
      <c r="H90" s="242">
        <v>-13946.75</v>
      </c>
      <c r="I90" s="242">
        <v>-61669.85</v>
      </c>
      <c r="J90" s="242">
        <v>-29995.4</v>
      </c>
      <c r="K90" s="242">
        <v>-39481.910000000003</v>
      </c>
      <c r="L90" s="242">
        <v>-65115.55</v>
      </c>
      <c r="M90" s="242">
        <v>-48344.4</v>
      </c>
      <c r="N90" s="242">
        <v>-24845.64</v>
      </c>
      <c r="O90" s="242">
        <v>-303876.39</v>
      </c>
    </row>
    <row r="91" spans="1:15" x14ac:dyDescent="0.25">
      <c r="A91" s="241" t="s">
        <v>1584</v>
      </c>
      <c r="B91" s="241" t="s">
        <v>603</v>
      </c>
      <c r="C91" s="243"/>
      <c r="D91" s="243"/>
      <c r="E91" s="243"/>
      <c r="F91" s="243"/>
      <c r="G91" s="243"/>
      <c r="H91" s="243"/>
      <c r="I91" s="242">
        <v>-3387.91</v>
      </c>
      <c r="J91" s="242">
        <v>-646.79999999999995</v>
      </c>
      <c r="K91" s="242">
        <v>-1336.69</v>
      </c>
      <c r="L91" s="242">
        <v>-814.37</v>
      </c>
      <c r="M91" s="242">
        <v>-1864.77</v>
      </c>
      <c r="N91" s="242">
        <v>-1487.15</v>
      </c>
      <c r="O91" s="242">
        <v>-9537.69</v>
      </c>
    </row>
    <row r="92" spans="1:15" x14ac:dyDescent="0.25">
      <c r="A92" s="241" t="s">
        <v>1585</v>
      </c>
      <c r="B92" s="241" t="s">
        <v>623</v>
      </c>
      <c r="C92" s="243"/>
      <c r="D92" s="243"/>
      <c r="E92" s="243"/>
      <c r="F92" s="243"/>
      <c r="G92" s="243"/>
      <c r="H92" s="243"/>
      <c r="I92" s="242">
        <v>-7186.24</v>
      </c>
      <c r="J92" s="243"/>
      <c r="K92" s="243"/>
      <c r="L92" s="243"/>
      <c r="M92" s="243"/>
      <c r="N92" s="243"/>
      <c r="O92" s="242">
        <v>-7186.24</v>
      </c>
    </row>
    <row r="93" spans="1:15" x14ac:dyDescent="0.25">
      <c r="A93" s="241" t="s">
        <v>656</v>
      </c>
      <c r="B93" s="241" t="s">
        <v>605</v>
      </c>
      <c r="C93" s="246"/>
      <c r="D93" s="244">
        <v>-0.19</v>
      </c>
      <c r="E93" s="244">
        <v>-1989.92</v>
      </c>
      <c r="F93" s="244">
        <v>94.01</v>
      </c>
      <c r="G93" s="244">
        <v>-848.7</v>
      </c>
      <c r="H93" s="244">
        <v>-20.9</v>
      </c>
      <c r="I93" s="246"/>
      <c r="J93" s="246"/>
      <c r="K93" s="244">
        <v>-2033</v>
      </c>
      <c r="L93" s="246"/>
      <c r="M93" s="246"/>
      <c r="N93" s="244">
        <v>-137.02000000000001</v>
      </c>
      <c r="O93" s="244">
        <v>-4935.72</v>
      </c>
    </row>
    <row r="94" spans="1:15" x14ac:dyDescent="0.25">
      <c r="A94" s="239"/>
      <c r="B94" s="239" t="s">
        <v>657</v>
      </c>
      <c r="C94" s="240"/>
      <c r="D94" s="245">
        <v>-1338.19</v>
      </c>
      <c r="E94" s="245">
        <v>-2162.4299999999998</v>
      </c>
      <c r="F94" s="245">
        <v>94.01</v>
      </c>
      <c r="G94" s="245">
        <v>8064.92</v>
      </c>
      <c r="H94" s="245">
        <v>6532.35</v>
      </c>
      <c r="I94" s="245">
        <v>65430.15</v>
      </c>
      <c r="J94" s="245">
        <v>48724.6</v>
      </c>
      <c r="K94" s="245">
        <v>34745.089999999997</v>
      </c>
      <c r="L94" s="245">
        <v>70184.45</v>
      </c>
      <c r="M94" s="245">
        <v>50055.6</v>
      </c>
      <c r="N94" s="245">
        <v>66857.34</v>
      </c>
      <c r="O94" s="245">
        <v>347187.89</v>
      </c>
    </row>
    <row r="95" spans="1:15" x14ac:dyDescent="0.25">
      <c r="A95" s="235"/>
      <c r="B95" s="235"/>
      <c r="C95" s="236"/>
      <c r="D95" s="236"/>
      <c r="E95" s="236"/>
      <c r="F95" s="236"/>
      <c r="G95" s="236"/>
      <c r="H95" s="236"/>
      <c r="I95" s="236"/>
      <c r="J95" s="236"/>
      <c r="K95" s="236"/>
      <c r="L95" s="236"/>
      <c r="M95" s="236"/>
      <c r="N95" s="236"/>
      <c r="O95" s="236"/>
    </row>
    <row r="96" spans="1:15" x14ac:dyDescent="0.25">
      <c r="A96" s="239"/>
      <c r="B96" s="239" t="s">
        <v>658</v>
      </c>
      <c r="C96" s="240"/>
      <c r="D96" s="240"/>
      <c r="E96" s="240"/>
      <c r="F96" s="240"/>
      <c r="G96" s="240"/>
      <c r="H96" s="240"/>
      <c r="I96" s="240"/>
      <c r="J96" s="240"/>
      <c r="K96" s="240"/>
      <c r="L96" s="240"/>
      <c r="M96" s="240"/>
      <c r="N96" s="240"/>
      <c r="O96" s="240"/>
    </row>
    <row r="97" spans="1:15" x14ac:dyDescent="0.25">
      <c r="A97" s="241" t="s">
        <v>659</v>
      </c>
      <c r="B97" s="241" t="s">
        <v>573</v>
      </c>
      <c r="C97" s="242">
        <v>17441705.120000001</v>
      </c>
      <c r="D97" s="242">
        <v>17329221.539999999</v>
      </c>
      <c r="E97" s="242">
        <v>15455007.699999999</v>
      </c>
      <c r="F97" s="242">
        <v>15094437.560000001</v>
      </c>
      <c r="G97" s="242">
        <v>15558506.720000001</v>
      </c>
      <c r="H97" s="242">
        <v>15180409.5</v>
      </c>
      <c r="I97" s="242">
        <v>17564709.359999999</v>
      </c>
      <c r="J97" s="242">
        <v>17443999.52</v>
      </c>
      <c r="K97" s="242">
        <v>17952157.48</v>
      </c>
      <c r="L97" s="242">
        <v>17753425.940000001</v>
      </c>
      <c r="M97" s="242">
        <v>18590569.640000001</v>
      </c>
      <c r="N97" s="242">
        <v>18933894.760000002</v>
      </c>
      <c r="O97" s="242">
        <v>204298044.84</v>
      </c>
    </row>
    <row r="98" spans="1:15" x14ac:dyDescent="0.25">
      <c r="A98" s="241" t="s">
        <v>660</v>
      </c>
      <c r="B98" s="241" t="s">
        <v>575</v>
      </c>
      <c r="C98" s="242">
        <v>3166.32</v>
      </c>
      <c r="D98" s="242">
        <v>5050.5200000000004</v>
      </c>
      <c r="E98" s="242">
        <v>6235.74</v>
      </c>
      <c r="F98" s="242">
        <v>2396.2399999999998</v>
      </c>
      <c r="G98" s="242">
        <v>1664.14</v>
      </c>
      <c r="H98" s="242">
        <v>3329.46</v>
      </c>
      <c r="I98" s="242">
        <v>6111.62</v>
      </c>
      <c r="J98" s="242">
        <v>2773.54</v>
      </c>
      <c r="K98" s="242">
        <v>10305.16</v>
      </c>
      <c r="L98" s="242">
        <v>7888.2</v>
      </c>
      <c r="M98" s="242">
        <v>10058.719999999999</v>
      </c>
      <c r="N98" s="242">
        <v>5022.88</v>
      </c>
      <c r="O98" s="242">
        <v>64002.54</v>
      </c>
    </row>
    <row r="99" spans="1:15" x14ac:dyDescent="0.25">
      <c r="A99" s="241" t="s">
        <v>661</v>
      </c>
      <c r="B99" s="241" t="s">
        <v>577</v>
      </c>
      <c r="C99" s="242">
        <v>66235.34</v>
      </c>
      <c r="D99" s="242">
        <v>63950.29</v>
      </c>
      <c r="E99" s="242">
        <v>54841.93</v>
      </c>
      <c r="F99" s="242">
        <v>61015.75</v>
      </c>
      <c r="G99" s="242">
        <v>36643.839999999997</v>
      </c>
      <c r="H99" s="242">
        <v>70113.179999999993</v>
      </c>
      <c r="I99" s="242">
        <v>89248.34</v>
      </c>
      <c r="J99" s="242">
        <v>73388.94</v>
      </c>
      <c r="K99" s="242">
        <v>94277.05</v>
      </c>
      <c r="L99" s="242">
        <v>62161.59</v>
      </c>
      <c r="M99" s="242">
        <v>71745.66</v>
      </c>
      <c r="N99" s="242">
        <v>93188.58</v>
      </c>
      <c r="O99" s="242">
        <v>836810.49</v>
      </c>
    </row>
    <row r="100" spans="1:15" x14ac:dyDescent="0.25">
      <c r="A100" s="241" t="s">
        <v>662</v>
      </c>
      <c r="B100" s="241" t="s">
        <v>579</v>
      </c>
      <c r="C100" s="242">
        <v>42804.7</v>
      </c>
      <c r="D100" s="242">
        <v>40361.019999999997</v>
      </c>
      <c r="E100" s="242">
        <v>35778.339999999997</v>
      </c>
      <c r="F100" s="242">
        <v>30846.82</v>
      </c>
      <c r="G100" s="242">
        <v>30494.5</v>
      </c>
      <c r="H100" s="242">
        <v>30130.82</v>
      </c>
      <c r="I100" s="242">
        <v>33652.620000000003</v>
      </c>
      <c r="J100" s="242">
        <v>36815.339999999997</v>
      </c>
      <c r="K100" s="242">
        <v>36936.44</v>
      </c>
      <c r="L100" s="242">
        <v>41698.400000000001</v>
      </c>
      <c r="M100" s="242">
        <v>44310.86</v>
      </c>
      <c r="N100" s="242">
        <v>41773.019999999997</v>
      </c>
      <c r="O100" s="242">
        <v>445602.88</v>
      </c>
    </row>
    <row r="101" spans="1:15" x14ac:dyDescent="0.25">
      <c r="A101" s="241" t="s">
        <v>663</v>
      </c>
      <c r="B101" s="241" t="s">
        <v>581</v>
      </c>
      <c r="C101" s="242">
        <v>6985.02</v>
      </c>
      <c r="D101" s="242">
        <v>9313.6200000000008</v>
      </c>
      <c r="E101" s="242">
        <v>8118.14</v>
      </c>
      <c r="F101" s="242">
        <v>11170.94</v>
      </c>
      <c r="G101" s="242">
        <v>8541.7999999999993</v>
      </c>
      <c r="H101" s="242">
        <v>8871.76</v>
      </c>
      <c r="I101" s="242">
        <v>9923.14</v>
      </c>
      <c r="J101" s="242">
        <v>5555.52</v>
      </c>
      <c r="K101" s="242">
        <v>6163</v>
      </c>
      <c r="L101" s="242">
        <v>6812.88</v>
      </c>
      <c r="M101" s="242">
        <v>6344.12</v>
      </c>
      <c r="N101" s="242">
        <v>5048.3599999999997</v>
      </c>
      <c r="O101" s="242">
        <v>92848.3</v>
      </c>
    </row>
    <row r="102" spans="1:15" x14ac:dyDescent="0.25">
      <c r="A102" s="241" t="s">
        <v>664</v>
      </c>
      <c r="B102" s="241" t="s">
        <v>585</v>
      </c>
      <c r="C102" s="242">
        <v>238150.52</v>
      </c>
      <c r="D102" s="242">
        <v>238400.16</v>
      </c>
      <c r="E102" s="242">
        <v>146538.98000000001</v>
      </c>
      <c r="F102" s="242">
        <v>199226.16</v>
      </c>
      <c r="G102" s="242">
        <v>176127.02</v>
      </c>
      <c r="H102" s="242">
        <v>200371.98</v>
      </c>
      <c r="I102" s="242">
        <v>293083.08</v>
      </c>
      <c r="J102" s="242">
        <v>240318.7</v>
      </c>
      <c r="K102" s="242">
        <v>330025.2</v>
      </c>
      <c r="L102" s="242">
        <v>330863.09000000003</v>
      </c>
      <c r="M102" s="242">
        <v>314220.32</v>
      </c>
      <c r="N102" s="242">
        <v>255559.34</v>
      </c>
      <c r="O102" s="242">
        <v>2962884.55</v>
      </c>
    </row>
    <row r="103" spans="1:15" x14ac:dyDescent="0.25">
      <c r="A103" s="241" t="s">
        <v>665</v>
      </c>
      <c r="B103" s="241" t="s">
        <v>587</v>
      </c>
      <c r="C103" s="242">
        <v>83971.94</v>
      </c>
      <c r="D103" s="242">
        <v>113649.22</v>
      </c>
      <c r="E103" s="242">
        <v>72075.5</v>
      </c>
      <c r="F103" s="242">
        <v>89892.479999999996</v>
      </c>
      <c r="G103" s="242">
        <v>76657.13</v>
      </c>
      <c r="H103" s="242">
        <v>95153.44</v>
      </c>
      <c r="I103" s="242">
        <v>124086.94</v>
      </c>
      <c r="J103" s="242">
        <v>112172.32</v>
      </c>
      <c r="K103" s="242">
        <v>145103.17000000001</v>
      </c>
      <c r="L103" s="242">
        <v>128354.71</v>
      </c>
      <c r="M103" s="242">
        <v>129471.28</v>
      </c>
      <c r="N103" s="242">
        <v>101535.86</v>
      </c>
      <c r="O103" s="242">
        <v>1272123.99</v>
      </c>
    </row>
    <row r="104" spans="1:15" x14ac:dyDescent="0.25">
      <c r="A104" s="241" t="s">
        <v>666</v>
      </c>
      <c r="B104" s="241" t="s">
        <v>589</v>
      </c>
      <c r="C104" s="242">
        <v>230211.72</v>
      </c>
      <c r="D104" s="242">
        <v>196131.96</v>
      </c>
      <c r="E104" s="242">
        <v>175922.98</v>
      </c>
      <c r="F104" s="242">
        <v>192083.28</v>
      </c>
      <c r="G104" s="242">
        <v>156921.96</v>
      </c>
      <c r="H104" s="242">
        <v>168255.57</v>
      </c>
      <c r="I104" s="242">
        <v>285927.65999999997</v>
      </c>
      <c r="J104" s="242">
        <v>251628.4</v>
      </c>
      <c r="K104" s="242">
        <v>349547.14</v>
      </c>
      <c r="L104" s="242">
        <v>281645.21999999997</v>
      </c>
      <c r="M104" s="242">
        <v>282248.34000000003</v>
      </c>
      <c r="N104" s="242">
        <v>229157.12</v>
      </c>
      <c r="O104" s="242">
        <v>2799681.35</v>
      </c>
    </row>
    <row r="105" spans="1:15" x14ac:dyDescent="0.25">
      <c r="A105" s="241" t="s">
        <v>667</v>
      </c>
      <c r="B105" s="241" t="s">
        <v>591</v>
      </c>
      <c r="C105" s="242">
        <v>101682.56</v>
      </c>
      <c r="D105" s="242">
        <v>95196.72</v>
      </c>
      <c r="E105" s="242">
        <v>109035.24</v>
      </c>
      <c r="F105" s="242">
        <v>127510.3</v>
      </c>
      <c r="G105" s="242">
        <v>81120.94</v>
      </c>
      <c r="H105" s="242">
        <v>96097.76</v>
      </c>
      <c r="I105" s="242">
        <v>94687.3</v>
      </c>
      <c r="J105" s="242">
        <v>78209.86</v>
      </c>
      <c r="K105" s="242">
        <v>116168.7</v>
      </c>
      <c r="L105" s="242">
        <v>110952.08</v>
      </c>
      <c r="M105" s="242">
        <v>126003.3</v>
      </c>
      <c r="N105" s="242">
        <v>119773.72</v>
      </c>
      <c r="O105" s="242">
        <v>1256438.48</v>
      </c>
    </row>
    <row r="106" spans="1:15" x14ac:dyDescent="0.25">
      <c r="A106" s="241" t="s">
        <v>1586</v>
      </c>
      <c r="B106" s="241" t="s">
        <v>594</v>
      </c>
      <c r="C106" s="243"/>
      <c r="D106" s="243"/>
      <c r="E106" s="243"/>
      <c r="F106" s="243"/>
      <c r="G106" s="243"/>
      <c r="H106" s="243"/>
      <c r="I106" s="242">
        <v>2039.7</v>
      </c>
      <c r="J106" s="242">
        <v>-104.6</v>
      </c>
      <c r="K106" s="242">
        <v>3870.2</v>
      </c>
      <c r="L106" s="242">
        <v>10041.6</v>
      </c>
      <c r="M106" s="242">
        <v>5909.9</v>
      </c>
      <c r="N106" s="242">
        <v>5491.5</v>
      </c>
      <c r="O106" s="242">
        <v>27248.3</v>
      </c>
    </row>
    <row r="107" spans="1:15" x14ac:dyDescent="0.25">
      <c r="A107" s="241" t="s">
        <v>669</v>
      </c>
      <c r="B107" s="241" t="s">
        <v>596</v>
      </c>
      <c r="C107" s="242">
        <v>42629.42</v>
      </c>
      <c r="D107" s="242">
        <v>37797.050000000003</v>
      </c>
      <c r="E107" s="242">
        <v>32425.759999999998</v>
      </c>
      <c r="F107" s="242">
        <v>39983.46</v>
      </c>
      <c r="G107" s="242">
        <v>32825.19</v>
      </c>
      <c r="H107" s="242">
        <v>32651.81</v>
      </c>
      <c r="I107" s="242">
        <v>36594.839999999997</v>
      </c>
      <c r="J107" s="242">
        <v>32042.240000000002</v>
      </c>
      <c r="K107" s="242">
        <v>41610.730000000003</v>
      </c>
      <c r="L107" s="242">
        <v>41559.24</v>
      </c>
      <c r="M107" s="242">
        <v>38434.639999999999</v>
      </c>
      <c r="N107" s="242">
        <v>41210.75</v>
      </c>
      <c r="O107" s="242">
        <v>449765.13</v>
      </c>
    </row>
    <row r="108" spans="1:15" x14ac:dyDescent="0.25">
      <c r="A108" s="241" t="s">
        <v>670</v>
      </c>
      <c r="B108" s="241" t="s">
        <v>599</v>
      </c>
      <c r="C108" s="242">
        <v>4122.22</v>
      </c>
      <c r="D108" s="242">
        <v>2716.34</v>
      </c>
      <c r="E108" s="242">
        <v>3708.88</v>
      </c>
      <c r="F108" s="242">
        <v>2447.62</v>
      </c>
      <c r="G108" s="242">
        <v>3562.22</v>
      </c>
      <c r="H108" s="242">
        <v>3035.28</v>
      </c>
      <c r="I108" s="242">
        <v>2683.44</v>
      </c>
      <c r="J108" s="242">
        <v>1964.76</v>
      </c>
      <c r="K108" s="242">
        <v>3128.66</v>
      </c>
      <c r="L108" s="242">
        <v>3877.66</v>
      </c>
      <c r="M108" s="242">
        <v>4336.3</v>
      </c>
      <c r="N108" s="242">
        <v>6371.46</v>
      </c>
      <c r="O108" s="242">
        <v>41954.84</v>
      </c>
    </row>
    <row r="109" spans="1:15" x14ac:dyDescent="0.25">
      <c r="A109" s="241" t="s">
        <v>671</v>
      </c>
      <c r="B109" s="241" t="s">
        <v>601</v>
      </c>
      <c r="C109" s="242">
        <v>-2112049.27</v>
      </c>
      <c r="D109" s="242">
        <v>-893678.03</v>
      </c>
      <c r="E109" s="242">
        <v>-1820119.66</v>
      </c>
      <c r="F109" s="242">
        <v>-1754119.94</v>
      </c>
      <c r="G109" s="242">
        <v>-1874237</v>
      </c>
      <c r="H109" s="242">
        <v>-1861751.38</v>
      </c>
      <c r="I109" s="242">
        <v>-2151260.67</v>
      </c>
      <c r="J109" s="242">
        <v>-2105907.0499999998</v>
      </c>
      <c r="K109" s="242">
        <v>2478478.86</v>
      </c>
      <c r="L109" s="242">
        <v>-1487102.38</v>
      </c>
      <c r="M109" s="242">
        <v>-799333.72</v>
      </c>
      <c r="N109" s="242">
        <v>-733187.87</v>
      </c>
      <c r="O109" s="242">
        <v>-15114268.109999999</v>
      </c>
    </row>
    <row r="110" spans="1:15" x14ac:dyDescent="0.25">
      <c r="A110" s="241" t="s">
        <v>672</v>
      </c>
      <c r="B110" s="241" t="s">
        <v>603</v>
      </c>
      <c r="C110" s="242">
        <v>-259022.94</v>
      </c>
      <c r="D110" s="242">
        <v>-247222.1</v>
      </c>
      <c r="E110" s="242">
        <v>-242064.78</v>
      </c>
      <c r="F110" s="242">
        <v>-268052.71999999997</v>
      </c>
      <c r="G110" s="242">
        <v>-188041.39</v>
      </c>
      <c r="H110" s="242">
        <v>-238945.53</v>
      </c>
      <c r="I110" s="242">
        <v>-268094.83</v>
      </c>
      <c r="J110" s="242">
        <v>-224167.99</v>
      </c>
      <c r="K110" s="242">
        <v>-306910.89</v>
      </c>
      <c r="L110" s="242">
        <v>-279312.21000000002</v>
      </c>
      <c r="M110" s="242">
        <v>-301773.25</v>
      </c>
      <c r="N110" s="242">
        <v>-308752.90999999997</v>
      </c>
      <c r="O110" s="242">
        <v>-3132361.54</v>
      </c>
    </row>
    <row r="111" spans="1:15" x14ac:dyDescent="0.25">
      <c r="A111" s="241" t="s">
        <v>673</v>
      </c>
      <c r="B111" s="241" t="s">
        <v>623</v>
      </c>
      <c r="C111" s="242">
        <v>-464195.86</v>
      </c>
      <c r="D111" s="242">
        <v>-483551.89</v>
      </c>
      <c r="E111" s="242">
        <v>-347639.59</v>
      </c>
      <c r="F111" s="242">
        <v>-421001.5</v>
      </c>
      <c r="G111" s="242">
        <v>-351082.2</v>
      </c>
      <c r="H111" s="242">
        <v>-399735.41</v>
      </c>
      <c r="I111" s="242">
        <v>-581023.16</v>
      </c>
      <c r="J111" s="242">
        <v>-510492.47</v>
      </c>
      <c r="K111" s="242">
        <v>-694945.54</v>
      </c>
      <c r="L111" s="242">
        <v>-633032.05000000005</v>
      </c>
      <c r="M111" s="242">
        <v>-623092.11</v>
      </c>
      <c r="N111" s="242">
        <v>-504169.83</v>
      </c>
      <c r="O111" s="242">
        <v>-6013961.6100000003</v>
      </c>
    </row>
    <row r="112" spans="1:15" x14ac:dyDescent="0.25">
      <c r="A112" s="241" t="s">
        <v>674</v>
      </c>
      <c r="B112" s="241" t="s">
        <v>675</v>
      </c>
      <c r="C112" s="242">
        <v>511144.47</v>
      </c>
      <c r="D112" s="242">
        <v>896884.33</v>
      </c>
      <c r="E112" s="242">
        <v>1074320.75</v>
      </c>
      <c r="F112" s="242">
        <v>630856.62</v>
      </c>
      <c r="G112" s="242">
        <v>632542.26</v>
      </c>
      <c r="H112" s="242">
        <v>603060.26</v>
      </c>
      <c r="I112" s="242">
        <v>635559.23</v>
      </c>
      <c r="J112" s="242">
        <v>688302.86</v>
      </c>
      <c r="K112" s="242">
        <v>447219.21</v>
      </c>
      <c r="L112" s="242">
        <v>599700.37</v>
      </c>
      <c r="M112" s="242">
        <v>390841.91</v>
      </c>
      <c r="N112" s="242">
        <v>447107.23</v>
      </c>
      <c r="O112" s="242">
        <v>7557539.5</v>
      </c>
    </row>
    <row r="113" spans="1:15" x14ac:dyDescent="0.25">
      <c r="A113" s="241" t="s">
        <v>676</v>
      </c>
      <c r="B113" s="241" t="s">
        <v>605</v>
      </c>
      <c r="C113" s="242">
        <v>-359306.7</v>
      </c>
      <c r="D113" s="242">
        <v>-1629378.6</v>
      </c>
      <c r="E113" s="242">
        <v>-894505</v>
      </c>
      <c r="F113" s="242">
        <v>-882645.51</v>
      </c>
      <c r="G113" s="242">
        <v>-847079.47</v>
      </c>
      <c r="H113" s="242">
        <v>-776847.61</v>
      </c>
      <c r="I113" s="242">
        <v>-605955.31000000006</v>
      </c>
      <c r="J113" s="242">
        <v>-1015164.13</v>
      </c>
      <c r="K113" s="242">
        <v>-4941178.4400000004</v>
      </c>
      <c r="L113" s="242">
        <v>-1480822.31</v>
      </c>
      <c r="M113" s="242">
        <v>-1639649.28</v>
      </c>
      <c r="N113" s="242">
        <v>-1332331.3</v>
      </c>
      <c r="O113" s="242">
        <v>-16404863.66</v>
      </c>
    </row>
    <row r="114" spans="1:15" x14ac:dyDescent="0.25">
      <c r="A114" s="241" t="s">
        <v>677</v>
      </c>
      <c r="B114" s="241" t="s">
        <v>678</v>
      </c>
      <c r="C114" s="244">
        <v>-19385.32</v>
      </c>
      <c r="D114" s="244">
        <v>-18285.63</v>
      </c>
      <c r="E114" s="244">
        <v>-20335.490000000002</v>
      </c>
      <c r="F114" s="244">
        <v>-19973.11</v>
      </c>
      <c r="G114" s="244">
        <v>22699.54</v>
      </c>
      <c r="H114" s="244">
        <v>20502.810000000001</v>
      </c>
      <c r="I114" s="244">
        <v>22699.54</v>
      </c>
      <c r="J114" s="244">
        <v>21967.3</v>
      </c>
      <c r="K114" s="244">
        <v>22699.54</v>
      </c>
      <c r="L114" s="244">
        <v>21967.3</v>
      </c>
      <c r="M114" s="244">
        <v>-15826.62</v>
      </c>
      <c r="N114" s="246"/>
      <c r="O114" s="244">
        <v>38729.86</v>
      </c>
    </row>
    <row r="115" spans="1:15" x14ac:dyDescent="0.25">
      <c r="A115" s="239"/>
      <c r="B115" s="239" t="s">
        <v>679</v>
      </c>
      <c r="C115" s="245">
        <v>15558849.26</v>
      </c>
      <c r="D115" s="245">
        <v>15756556.52</v>
      </c>
      <c r="E115" s="245">
        <v>13849345.42</v>
      </c>
      <c r="F115" s="245">
        <v>13136074.449999999</v>
      </c>
      <c r="G115" s="245">
        <v>13557867.199999999</v>
      </c>
      <c r="H115" s="245">
        <v>13234703.699999999</v>
      </c>
      <c r="I115" s="245">
        <v>15594672.84</v>
      </c>
      <c r="J115" s="245">
        <v>15133303.060000001</v>
      </c>
      <c r="K115" s="245">
        <v>16094655.67</v>
      </c>
      <c r="L115" s="245">
        <v>15520679.33</v>
      </c>
      <c r="M115" s="245">
        <v>16634820.01</v>
      </c>
      <c r="N115" s="245">
        <v>17406692.670000002</v>
      </c>
      <c r="O115" s="245">
        <v>181478220.13</v>
      </c>
    </row>
    <row r="116" spans="1:15" x14ac:dyDescent="0.25">
      <c r="A116" s="235"/>
      <c r="B116" s="235"/>
      <c r="C116" s="236"/>
      <c r="D116" s="236"/>
      <c r="E116" s="236"/>
      <c r="F116" s="236"/>
      <c r="G116" s="236"/>
      <c r="H116" s="236"/>
      <c r="I116" s="236"/>
      <c r="J116" s="236"/>
      <c r="K116" s="236"/>
      <c r="L116" s="236"/>
      <c r="M116" s="236"/>
      <c r="N116" s="236"/>
      <c r="O116" s="236"/>
    </row>
    <row r="117" spans="1:15" x14ac:dyDescent="0.25">
      <c r="A117" s="239"/>
      <c r="B117" s="239" t="s">
        <v>680</v>
      </c>
      <c r="C117" s="240"/>
      <c r="D117" s="240"/>
      <c r="E117" s="240"/>
      <c r="F117" s="240"/>
      <c r="G117" s="240"/>
      <c r="H117" s="240"/>
      <c r="I117" s="240"/>
      <c r="J117" s="240"/>
      <c r="K117" s="240"/>
      <c r="L117" s="240"/>
      <c r="M117" s="240"/>
      <c r="N117" s="240"/>
      <c r="O117" s="240"/>
    </row>
    <row r="118" spans="1:15" x14ac:dyDescent="0.25">
      <c r="A118" s="241" t="s">
        <v>681</v>
      </c>
      <c r="B118" s="241" t="s">
        <v>573</v>
      </c>
      <c r="C118" s="242">
        <v>9935.0499999999993</v>
      </c>
      <c r="D118" s="242">
        <v>132685.12</v>
      </c>
      <c r="E118" s="242">
        <v>117278.89</v>
      </c>
      <c r="F118" s="242">
        <v>125221.08</v>
      </c>
      <c r="G118" s="242">
        <v>376343.88</v>
      </c>
      <c r="H118" s="242">
        <v>83174.820000000007</v>
      </c>
      <c r="I118" s="242">
        <v>206879.75</v>
      </c>
      <c r="J118" s="242">
        <v>438190.88</v>
      </c>
      <c r="K118" s="242">
        <v>829127.12</v>
      </c>
      <c r="L118" s="242">
        <v>727554.76</v>
      </c>
      <c r="M118" s="242">
        <v>467474.2</v>
      </c>
      <c r="N118" s="242">
        <v>29539.64</v>
      </c>
      <c r="O118" s="242">
        <v>3543405.19</v>
      </c>
    </row>
    <row r="119" spans="1:15" x14ac:dyDescent="0.25">
      <c r="A119" s="241" t="s">
        <v>682</v>
      </c>
      <c r="B119" s="241" t="s">
        <v>575</v>
      </c>
      <c r="C119" s="243"/>
      <c r="D119" s="242">
        <v>868</v>
      </c>
      <c r="E119" s="243"/>
      <c r="F119" s="242">
        <v>-868</v>
      </c>
      <c r="G119" s="243"/>
      <c r="H119" s="242">
        <v>40</v>
      </c>
      <c r="I119" s="242">
        <v>827.28</v>
      </c>
      <c r="J119" s="242">
        <v>-413.3</v>
      </c>
      <c r="K119" s="243"/>
      <c r="L119" s="243"/>
      <c r="M119" s="242">
        <v>892.7</v>
      </c>
      <c r="N119" s="243"/>
      <c r="O119" s="242">
        <v>1346.68</v>
      </c>
    </row>
    <row r="120" spans="1:15" x14ac:dyDescent="0.25">
      <c r="A120" s="241" t="s">
        <v>683</v>
      </c>
      <c r="B120" s="241" t="s">
        <v>577</v>
      </c>
      <c r="C120" s="242">
        <v>664.26</v>
      </c>
      <c r="D120" s="242">
        <v>10244.06</v>
      </c>
      <c r="E120" s="242">
        <v>10203.82</v>
      </c>
      <c r="F120" s="242">
        <v>2969.72</v>
      </c>
      <c r="G120" s="242">
        <v>-380.57</v>
      </c>
      <c r="H120" s="242">
        <v>1498.33</v>
      </c>
      <c r="I120" s="242">
        <v>5657.17</v>
      </c>
      <c r="J120" s="242">
        <v>4693.8599999999997</v>
      </c>
      <c r="K120" s="242">
        <v>-4821.57</v>
      </c>
      <c r="L120" s="242">
        <v>8125.6</v>
      </c>
      <c r="M120" s="242">
        <v>22386.86</v>
      </c>
      <c r="N120" s="242">
        <v>9335.7099999999991</v>
      </c>
      <c r="O120" s="242">
        <v>70577.25</v>
      </c>
    </row>
    <row r="121" spans="1:15" x14ac:dyDescent="0.25">
      <c r="A121" s="241" t="s">
        <v>684</v>
      </c>
      <c r="B121" s="241" t="s">
        <v>579</v>
      </c>
      <c r="C121" s="242">
        <v>-456.7</v>
      </c>
      <c r="D121" s="242">
        <v>739.12</v>
      </c>
      <c r="E121" s="242">
        <v>-1198.8</v>
      </c>
      <c r="F121" s="242">
        <v>-51</v>
      </c>
      <c r="G121" s="242">
        <v>1513.6</v>
      </c>
      <c r="H121" s="242">
        <v>830.48</v>
      </c>
      <c r="I121" s="242">
        <v>937.96</v>
      </c>
      <c r="J121" s="242">
        <v>1955.32</v>
      </c>
      <c r="K121" s="242">
        <v>2095.5</v>
      </c>
      <c r="L121" s="242">
        <v>2657.18</v>
      </c>
      <c r="M121" s="242">
        <v>3270.92</v>
      </c>
      <c r="N121" s="242">
        <v>1863.66</v>
      </c>
      <c r="O121" s="242">
        <v>14157.24</v>
      </c>
    </row>
    <row r="122" spans="1:15" x14ac:dyDescent="0.25">
      <c r="A122" s="241" t="s">
        <v>685</v>
      </c>
      <c r="B122" s="241" t="s">
        <v>581</v>
      </c>
      <c r="C122" s="242">
        <v>437.68</v>
      </c>
      <c r="D122" s="242">
        <v>523.72</v>
      </c>
      <c r="E122" s="242">
        <v>487.2</v>
      </c>
      <c r="F122" s="242">
        <v>333.7</v>
      </c>
      <c r="G122" s="242">
        <v>261.26</v>
      </c>
      <c r="H122" s="242">
        <v>619.34</v>
      </c>
      <c r="I122" s="242">
        <v>-456.34</v>
      </c>
      <c r="J122" s="242">
        <v>851.22</v>
      </c>
      <c r="K122" s="242">
        <v>-127.06</v>
      </c>
      <c r="L122" s="242">
        <v>385.08</v>
      </c>
      <c r="M122" s="242">
        <v>173.7</v>
      </c>
      <c r="N122" s="242">
        <v>401.88</v>
      </c>
      <c r="O122" s="242">
        <v>3891.38</v>
      </c>
    </row>
    <row r="123" spans="1:15" x14ac:dyDescent="0.25">
      <c r="A123" s="241" t="s">
        <v>686</v>
      </c>
      <c r="B123" s="241" t="s">
        <v>585</v>
      </c>
      <c r="C123" s="242">
        <v>-13887.6</v>
      </c>
      <c r="D123" s="242">
        <v>-17186.419999999998</v>
      </c>
      <c r="E123" s="242">
        <v>4412.38</v>
      </c>
      <c r="F123" s="242">
        <v>-8310.64</v>
      </c>
      <c r="G123" s="242">
        <v>11365.1</v>
      </c>
      <c r="H123" s="242">
        <v>24556.92</v>
      </c>
      <c r="I123" s="242">
        <v>25322.38</v>
      </c>
      <c r="J123" s="242">
        <v>20168.12</v>
      </c>
      <c r="K123" s="242">
        <v>6650.64</v>
      </c>
      <c r="L123" s="242">
        <v>7654.08</v>
      </c>
      <c r="M123" s="242">
        <v>-9973.16</v>
      </c>
      <c r="N123" s="242">
        <v>5675.14</v>
      </c>
      <c r="O123" s="242">
        <v>56446.94</v>
      </c>
    </row>
    <row r="124" spans="1:15" x14ac:dyDescent="0.25">
      <c r="A124" s="241" t="s">
        <v>687</v>
      </c>
      <c r="B124" s="241" t="s">
        <v>587</v>
      </c>
      <c r="C124" s="242">
        <v>1965.28</v>
      </c>
      <c r="D124" s="242">
        <v>-13341.08</v>
      </c>
      <c r="E124" s="242">
        <v>8908.1</v>
      </c>
      <c r="F124" s="242">
        <v>-7622.92</v>
      </c>
      <c r="G124" s="242">
        <v>5554.3</v>
      </c>
      <c r="H124" s="242">
        <v>5909.44</v>
      </c>
      <c r="I124" s="242">
        <v>3561.22</v>
      </c>
      <c r="J124" s="242">
        <v>3261.06</v>
      </c>
      <c r="K124" s="242">
        <v>1083.4000000000001</v>
      </c>
      <c r="L124" s="242">
        <v>5271.92</v>
      </c>
      <c r="M124" s="242">
        <v>5465.46</v>
      </c>
      <c r="N124" s="242">
        <v>10262.44</v>
      </c>
      <c r="O124" s="242">
        <v>30278.62</v>
      </c>
    </row>
    <row r="125" spans="1:15" x14ac:dyDescent="0.25">
      <c r="A125" s="241" t="s">
        <v>688</v>
      </c>
      <c r="B125" s="241" t="s">
        <v>589</v>
      </c>
      <c r="C125" s="242">
        <v>-15680.88</v>
      </c>
      <c r="D125" s="242">
        <v>-9539.24</v>
      </c>
      <c r="E125" s="242">
        <v>1980.48</v>
      </c>
      <c r="F125" s="242">
        <v>9567.76</v>
      </c>
      <c r="G125" s="242">
        <v>7150.49</v>
      </c>
      <c r="H125" s="242">
        <v>21573.83</v>
      </c>
      <c r="I125" s="242">
        <v>30533.61</v>
      </c>
      <c r="J125" s="242">
        <v>4829</v>
      </c>
      <c r="K125" s="242">
        <v>2066.9</v>
      </c>
      <c r="L125" s="242">
        <v>12581.9</v>
      </c>
      <c r="M125" s="242">
        <v>-12670.7</v>
      </c>
      <c r="N125" s="242">
        <v>972.32</v>
      </c>
      <c r="O125" s="242">
        <v>53365.47</v>
      </c>
    </row>
    <row r="126" spans="1:15" x14ac:dyDescent="0.25">
      <c r="A126" s="241" t="s">
        <v>689</v>
      </c>
      <c r="B126" s="241" t="s">
        <v>591</v>
      </c>
      <c r="C126" s="242">
        <v>7582.78</v>
      </c>
      <c r="D126" s="242">
        <v>18572.400000000001</v>
      </c>
      <c r="E126" s="242">
        <v>1339.08</v>
      </c>
      <c r="F126" s="242">
        <v>6044.38</v>
      </c>
      <c r="G126" s="242">
        <v>6859.98</v>
      </c>
      <c r="H126" s="242">
        <v>-929.02</v>
      </c>
      <c r="I126" s="242">
        <v>1515.9</v>
      </c>
      <c r="J126" s="242">
        <v>3012.7</v>
      </c>
      <c r="K126" s="242">
        <v>9763.18</v>
      </c>
      <c r="L126" s="242">
        <v>3818.24</v>
      </c>
      <c r="M126" s="242">
        <v>11463</v>
      </c>
      <c r="N126" s="242">
        <v>10028.219999999999</v>
      </c>
      <c r="O126" s="242">
        <v>79070.84</v>
      </c>
    </row>
    <row r="127" spans="1:15" x14ac:dyDescent="0.25">
      <c r="A127" s="241" t="s">
        <v>690</v>
      </c>
      <c r="B127" s="241" t="s">
        <v>592</v>
      </c>
      <c r="C127" s="243"/>
      <c r="D127" s="242">
        <v>469.46</v>
      </c>
      <c r="E127" s="242">
        <v>-469.46</v>
      </c>
      <c r="F127" s="243"/>
      <c r="G127" s="242">
        <v>136.4</v>
      </c>
      <c r="H127" s="243"/>
      <c r="I127" s="243"/>
      <c r="J127" s="243"/>
      <c r="K127" s="243"/>
      <c r="L127" s="242">
        <v>1106.2</v>
      </c>
      <c r="M127" s="242">
        <v>-362.2</v>
      </c>
      <c r="N127" s="243"/>
      <c r="O127" s="242">
        <v>880.4</v>
      </c>
    </row>
    <row r="128" spans="1:15" x14ac:dyDescent="0.25">
      <c r="A128" s="241" t="s">
        <v>691</v>
      </c>
      <c r="B128" s="241" t="s">
        <v>596</v>
      </c>
      <c r="C128" s="242">
        <v>700.55</v>
      </c>
      <c r="D128" s="242">
        <v>1164.1600000000001</v>
      </c>
      <c r="E128" s="242">
        <v>472.26</v>
      </c>
      <c r="F128" s="242">
        <v>332.6</v>
      </c>
      <c r="G128" s="242">
        <v>857.25</v>
      </c>
      <c r="H128" s="242">
        <v>2167.81</v>
      </c>
      <c r="I128" s="242">
        <v>1163.5899999999999</v>
      </c>
      <c r="J128" s="242">
        <v>552.14</v>
      </c>
      <c r="K128" s="242">
        <v>1803.79</v>
      </c>
      <c r="L128" s="242">
        <v>534.79</v>
      </c>
      <c r="M128" s="242">
        <v>1900.68</v>
      </c>
      <c r="N128" s="242">
        <v>986.57</v>
      </c>
      <c r="O128" s="242">
        <v>12636.19</v>
      </c>
    </row>
    <row r="129" spans="1:15" x14ac:dyDescent="0.25">
      <c r="A129" s="241" t="s">
        <v>692</v>
      </c>
      <c r="B129" s="241" t="s">
        <v>599</v>
      </c>
      <c r="C129" s="242">
        <v>48.76</v>
      </c>
      <c r="D129" s="242">
        <v>451.92</v>
      </c>
      <c r="E129" s="242">
        <v>985.4</v>
      </c>
      <c r="F129" s="242">
        <v>-660.7</v>
      </c>
      <c r="G129" s="242">
        <v>155.97999999999999</v>
      </c>
      <c r="H129" s="242">
        <v>182.64</v>
      </c>
      <c r="I129" s="242">
        <v>820</v>
      </c>
      <c r="J129" s="242">
        <v>226.94</v>
      </c>
      <c r="K129" s="242">
        <v>903.2</v>
      </c>
      <c r="L129" s="242">
        <v>-214.36</v>
      </c>
      <c r="M129" s="242">
        <v>-33.42</v>
      </c>
      <c r="N129" s="242">
        <v>495.22</v>
      </c>
      <c r="O129" s="242">
        <v>3361.58</v>
      </c>
    </row>
    <row r="130" spans="1:15" x14ac:dyDescent="0.25">
      <c r="A130" s="241" t="s">
        <v>693</v>
      </c>
      <c r="B130" s="241" t="s">
        <v>601</v>
      </c>
      <c r="C130" s="242">
        <v>-58639.63</v>
      </c>
      <c r="D130" s="242">
        <v>-78387.350000000006</v>
      </c>
      <c r="E130" s="242">
        <v>-87312.87</v>
      </c>
      <c r="F130" s="242">
        <v>-121497.77</v>
      </c>
      <c r="G130" s="242">
        <v>-124267.61</v>
      </c>
      <c r="H130" s="242">
        <v>-59457.21</v>
      </c>
      <c r="I130" s="242">
        <v>-96791.8</v>
      </c>
      <c r="J130" s="242">
        <v>-146510.07999999999</v>
      </c>
      <c r="K130" s="242">
        <v>-32473.119999999999</v>
      </c>
      <c r="L130" s="242">
        <v>-139036.91</v>
      </c>
      <c r="M130" s="242">
        <v>-111688.75</v>
      </c>
      <c r="N130" s="242">
        <v>-75941.740000000005</v>
      </c>
      <c r="O130" s="242">
        <v>-1132004.8400000001</v>
      </c>
    </row>
    <row r="131" spans="1:15" x14ac:dyDescent="0.25">
      <c r="A131" s="241" t="s">
        <v>694</v>
      </c>
      <c r="B131" s="241" t="s">
        <v>603</v>
      </c>
      <c r="C131" s="242">
        <v>-9258.25</v>
      </c>
      <c r="D131" s="242">
        <v>-33103.07</v>
      </c>
      <c r="E131" s="242">
        <v>-12100.42</v>
      </c>
      <c r="F131" s="242">
        <v>-7960.24</v>
      </c>
      <c r="G131" s="242">
        <v>-9193.2099999999991</v>
      </c>
      <c r="H131" s="242">
        <v>-4339.3500000000004</v>
      </c>
      <c r="I131" s="242">
        <v>-10325.1</v>
      </c>
      <c r="J131" s="242">
        <v>-11510.95</v>
      </c>
      <c r="K131" s="242">
        <v>-9265.89</v>
      </c>
      <c r="L131" s="242">
        <v>-16131.81</v>
      </c>
      <c r="M131" s="242">
        <v>-38989.94</v>
      </c>
      <c r="N131" s="242">
        <v>-23008.87</v>
      </c>
      <c r="O131" s="242">
        <v>-185187.1</v>
      </c>
    </row>
    <row r="132" spans="1:15" x14ac:dyDescent="0.25">
      <c r="A132" s="241" t="s">
        <v>695</v>
      </c>
      <c r="B132" s="241" t="s">
        <v>623</v>
      </c>
      <c r="C132" s="242">
        <v>18608.349999999999</v>
      </c>
      <c r="D132" s="242">
        <v>36866.57</v>
      </c>
      <c r="E132" s="242">
        <v>-13286.07</v>
      </c>
      <c r="F132" s="242">
        <v>-2474.61</v>
      </c>
      <c r="G132" s="242">
        <v>-20734.82</v>
      </c>
      <c r="H132" s="242">
        <v>-45374.31</v>
      </c>
      <c r="I132" s="242">
        <v>-50225.97</v>
      </c>
      <c r="J132" s="242">
        <v>-22382.02</v>
      </c>
      <c r="K132" s="242">
        <v>-11619.11</v>
      </c>
      <c r="L132" s="242">
        <v>-21237.119999999999</v>
      </c>
      <c r="M132" s="242">
        <v>19443.8</v>
      </c>
      <c r="N132" s="242">
        <v>-16105.97</v>
      </c>
      <c r="O132" s="242">
        <v>-128521.28</v>
      </c>
    </row>
    <row r="133" spans="1:15" x14ac:dyDescent="0.25">
      <c r="A133" s="241" t="s">
        <v>696</v>
      </c>
      <c r="B133" s="241" t="s">
        <v>605</v>
      </c>
      <c r="C133" s="244">
        <v>-159605.51999999999</v>
      </c>
      <c r="D133" s="244">
        <v>-152342.32999999999</v>
      </c>
      <c r="E133" s="244">
        <v>8068.23</v>
      </c>
      <c r="F133" s="244">
        <v>-56261.15</v>
      </c>
      <c r="G133" s="244">
        <v>-58739.27</v>
      </c>
      <c r="H133" s="244">
        <v>-60029.440000000002</v>
      </c>
      <c r="I133" s="244">
        <v>-176591.62</v>
      </c>
      <c r="J133" s="244">
        <v>-78623.009999999995</v>
      </c>
      <c r="K133" s="244">
        <v>-138892.74</v>
      </c>
      <c r="L133" s="244">
        <v>-54051.6</v>
      </c>
      <c r="M133" s="244">
        <v>-44151.97</v>
      </c>
      <c r="N133" s="244">
        <v>-30346.39</v>
      </c>
      <c r="O133" s="244">
        <v>-1001566.81</v>
      </c>
    </row>
    <row r="134" spans="1:15" x14ac:dyDescent="0.25">
      <c r="A134" s="239"/>
      <c r="B134" s="239" t="s">
        <v>697</v>
      </c>
      <c r="C134" s="245">
        <v>-217585.87</v>
      </c>
      <c r="D134" s="245">
        <v>-101314.96</v>
      </c>
      <c r="E134" s="245">
        <v>39768.22</v>
      </c>
      <c r="F134" s="245">
        <v>-61237.79</v>
      </c>
      <c r="G134" s="245">
        <v>196882.76</v>
      </c>
      <c r="H134" s="245">
        <v>-29575.72</v>
      </c>
      <c r="I134" s="245">
        <v>-57171.97</v>
      </c>
      <c r="J134" s="245">
        <v>218301.88</v>
      </c>
      <c r="K134" s="245">
        <v>656294.24</v>
      </c>
      <c r="L134" s="245">
        <v>539017.94999999995</v>
      </c>
      <c r="M134" s="245">
        <v>314601.18</v>
      </c>
      <c r="N134" s="245">
        <v>-75842.17</v>
      </c>
      <c r="O134" s="245">
        <v>1422137.75</v>
      </c>
    </row>
    <row r="135" spans="1:15" x14ac:dyDescent="0.25">
      <c r="A135" s="239"/>
      <c r="B135" s="239"/>
      <c r="C135" s="240"/>
      <c r="D135" s="240"/>
      <c r="E135" s="240"/>
      <c r="F135" s="240"/>
      <c r="G135" s="240"/>
      <c r="H135" s="240"/>
      <c r="I135" s="240"/>
      <c r="J135" s="240"/>
      <c r="K135" s="240"/>
      <c r="L135" s="240"/>
      <c r="M135" s="240"/>
      <c r="N135" s="240"/>
      <c r="O135" s="240"/>
    </row>
    <row r="136" spans="1:15" x14ac:dyDescent="0.25">
      <c r="A136" s="239"/>
      <c r="B136" s="239" t="s">
        <v>698</v>
      </c>
      <c r="C136" s="240"/>
      <c r="D136" s="240"/>
      <c r="E136" s="240"/>
      <c r="F136" s="240"/>
      <c r="G136" s="240"/>
      <c r="H136" s="240"/>
      <c r="I136" s="240"/>
      <c r="J136" s="240"/>
      <c r="K136" s="240"/>
      <c r="L136" s="240"/>
      <c r="M136" s="240"/>
      <c r="N136" s="240"/>
      <c r="O136" s="240"/>
    </row>
    <row r="137" spans="1:15" x14ac:dyDescent="0.25">
      <c r="A137" s="241" t="s">
        <v>699</v>
      </c>
      <c r="B137" s="241" t="s">
        <v>573</v>
      </c>
      <c r="C137" s="242">
        <v>878321.8</v>
      </c>
      <c r="D137" s="242">
        <v>899757.5</v>
      </c>
      <c r="E137" s="242">
        <v>880484.96</v>
      </c>
      <c r="F137" s="242">
        <v>966065.28</v>
      </c>
      <c r="G137" s="242">
        <v>1163021.44</v>
      </c>
      <c r="H137" s="242">
        <v>1045781.76</v>
      </c>
      <c r="I137" s="242">
        <v>1189790.6399999999</v>
      </c>
      <c r="J137" s="242">
        <v>1365715.96</v>
      </c>
      <c r="K137" s="242">
        <v>1152869.68</v>
      </c>
      <c r="L137" s="242">
        <v>981220.66</v>
      </c>
      <c r="M137" s="242">
        <v>1055862.68</v>
      </c>
      <c r="N137" s="242">
        <v>1071906.8</v>
      </c>
      <c r="O137" s="242">
        <v>12650799.16</v>
      </c>
    </row>
    <row r="138" spans="1:15" x14ac:dyDescent="0.25">
      <c r="A138" s="241" t="s">
        <v>700</v>
      </c>
      <c r="B138" s="241" t="s">
        <v>575</v>
      </c>
      <c r="C138" s="242">
        <v>72.2</v>
      </c>
      <c r="D138" s="242">
        <v>4995.88</v>
      </c>
      <c r="E138" s="242">
        <v>935.52</v>
      </c>
      <c r="F138" s="242">
        <v>381.92</v>
      </c>
      <c r="G138" s="242">
        <v>72.2</v>
      </c>
      <c r="H138" s="242">
        <v>1920.72</v>
      </c>
      <c r="I138" s="242">
        <v>1005.86</v>
      </c>
      <c r="J138" s="242">
        <v>1563.6</v>
      </c>
      <c r="K138" s="242">
        <v>1781.06</v>
      </c>
      <c r="L138" s="242">
        <v>1827.5</v>
      </c>
      <c r="M138" s="243"/>
      <c r="N138" s="242">
        <v>933.2</v>
      </c>
      <c r="O138" s="242">
        <v>15489.66</v>
      </c>
    </row>
    <row r="139" spans="1:15" x14ac:dyDescent="0.25">
      <c r="A139" s="241" t="s">
        <v>701</v>
      </c>
      <c r="B139" s="241" t="s">
        <v>577</v>
      </c>
      <c r="C139" s="242">
        <v>173222.75</v>
      </c>
      <c r="D139" s="242">
        <v>200227.15</v>
      </c>
      <c r="E139" s="242">
        <v>155107.46</v>
      </c>
      <c r="F139" s="242">
        <v>195203.75</v>
      </c>
      <c r="G139" s="242">
        <v>187957.01</v>
      </c>
      <c r="H139" s="242">
        <v>198689.53</v>
      </c>
      <c r="I139" s="242">
        <v>247578.81</v>
      </c>
      <c r="J139" s="242">
        <v>283641.83</v>
      </c>
      <c r="K139" s="242">
        <v>270028.94</v>
      </c>
      <c r="L139" s="242">
        <v>233339.26</v>
      </c>
      <c r="M139" s="242">
        <v>237321.36</v>
      </c>
      <c r="N139" s="242">
        <v>201335.22</v>
      </c>
      <c r="O139" s="242">
        <v>2583653.0699999998</v>
      </c>
    </row>
    <row r="140" spans="1:15" x14ac:dyDescent="0.25">
      <c r="A140" s="241" t="s">
        <v>702</v>
      </c>
      <c r="B140" s="241" t="s">
        <v>579</v>
      </c>
      <c r="C140" s="242">
        <v>1490.1</v>
      </c>
      <c r="D140" s="242">
        <v>2131.9</v>
      </c>
      <c r="E140" s="242">
        <v>1910.24</v>
      </c>
      <c r="F140" s="242">
        <v>3423.1</v>
      </c>
      <c r="G140" s="242">
        <v>2663.32</v>
      </c>
      <c r="H140" s="242">
        <v>4158.5600000000004</v>
      </c>
      <c r="I140" s="242">
        <v>1728.28</v>
      </c>
      <c r="J140" s="242">
        <v>6379.28</v>
      </c>
      <c r="K140" s="242">
        <v>3724.46</v>
      </c>
      <c r="L140" s="242">
        <v>2120.2399999999998</v>
      </c>
      <c r="M140" s="242">
        <v>558.05999999999995</v>
      </c>
      <c r="N140" s="242">
        <v>1718.72</v>
      </c>
      <c r="O140" s="242">
        <v>32006.26</v>
      </c>
    </row>
    <row r="141" spans="1:15" x14ac:dyDescent="0.25">
      <c r="A141" s="241" t="s">
        <v>703</v>
      </c>
      <c r="B141" s="241" t="s">
        <v>581</v>
      </c>
      <c r="C141" s="242">
        <v>16592.22</v>
      </c>
      <c r="D141" s="242">
        <v>15096.26</v>
      </c>
      <c r="E141" s="242">
        <v>12147.64</v>
      </c>
      <c r="F141" s="242">
        <v>16841.12</v>
      </c>
      <c r="G141" s="242">
        <v>20138.72</v>
      </c>
      <c r="H141" s="242">
        <v>17985.939999999999</v>
      </c>
      <c r="I141" s="242">
        <v>25758.9</v>
      </c>
      <c r="J141" s="242">
        <v>25740.959999999999</v>
      </c>
      <c r="K141" s="242">
        <v>28072.06</v>
      </c>
      <c r="L141" s="242">
        <v>20771.16</v>
      </c>
      <c r="M141" s="242">
        <v>17682.22</v>
      </c>
      <c r="N141" s="242">
        <v>15208.4</v>
      </c>
      <c r="O141" s="242">
        <v>232035.6</v>
      </c>
    </row>
    <row r="142" spans="1:15" x14ac:dyDescent="0.25">
      <c r="A142" s="241" t="s">
        <v>704</v>
      </c>
      <c r="B142" s="241" t="s">
        <v>585</v>
      </c>
      <c r="C142" s="242">
        <v>527554.34</v>
      </c>
      <c r="D142" s="242">
        <v>525015.98</v>
      </c>
      <c r="E142" s="242">
        <v>477864.16</v>
      </c>
      <c r="F142" s="242">
        <v>468756.6</v>
      </c>
      <c r="G142" s="242">
        <v>178675.3</v>
      </c>
      <c r="H142" s="242">
        <v>477148.09</v>
      </c>
      <c r="I142" s="242">
        <v>575904</v>
      </c>
      <c r="J142" s="242">
        <v>529347.1</v>
      </c>
      <c r="K142" s="242">
        <v>548432.32999999996</v>
      </c>
      <c r="L142" s="242">
        <v>504632.25</v>
      </c>
      <c r="M142" s="242">
        <v>534955.19999999995</v>
      </c>
      <c r="N142" s="242">
        <v>510676.53</v>
      </c>
      <c r="O142" s="242">
        <v>5858961.8799999999</v>
      </c>
    </row>
    <row r="143" spans="1:15" x14ac:dyDescent="0.25">
      <c r="A143" s="241" t="s">
        <v>705</v>
      </c>
      <c r="B143" s="241" t="s">
        <v>587</v>
      </c>
      <c r="C143" s="242">
        <v>211883.68</v>
      </c>
      <c r="D143" s="242">
        <v>213467.8</v>
      </c>
      <c r="E143" s="242">
        <v>203901.12</v>
      </c>
      <c r="F143" s="242">
        <v>213157.06</v>
      </c>
      <c r="G143" s="242">
        <v>105574.92</v>
      </c>
      <c r="H143" s="242">
        <v>171901.9</v>
      </c>
      <c r="I143" s="242">
        <v>317802.71999999997</v>
      </c>
      <c r="J143" s="242">
        <v>272860.02</v>
      </c>
      <c r="K143" s="242">
        <v>268368.86</v>
      </c>
      <c r="L143" s="242">
        <v>225567.7</v>
      </c>
      <c r="M143" s="242">
        <v>242006.39999999999</v>
      </c>
      <c r="N143" s="242">
        <v>246086.37</v>
      </c>
      <c r="O143" s="242">
        <v>2692578.55</v>
      </c>
    </row>
    <row r="144" spans="1:15" x14ac:dyDescent="0.25">
      <c r="A144" s="241" t="s">
        <v>706</v>
      </c>
      <c r="B144" s="241" t="s">
        <v>589</v>
      </c>
      <c r="C144" s="242">
        <v>522763</v>
      </c>
      <c r="D144" s="242">
        <v>539373.30000000005</v>
      </c>
      <c r="E144" s="242">
        <v>476780.6</v>
      </c>
      <c r="F144" s="242">
        <v>461881</v>
      </c>
      <c r="G144" s="242">
        <v>165382.74</v>
      </c>
      <c r="H144" s="242">
        <v>478370.46</v>
      </c>
      <c r="I144" s="242">
        <v>595259.64</v>
      </c>
      <c r="J144" s="242">
        <v>511189.16</v>
      </c>
      <c r="K144" s="242">
        <v>554277.28</v>
      </c>
      <c r="L144" s="242">
        <v>534399.34</v>
      </c>
      <c r="M144" s="242">
        <v>549322.02</v>
      </c>
      <c r="N144" s="242">
        <v>523110.2</v>
      </c>
      <c r="O144" s="242">
        <v>5912108.7400000002</v>
      </c>
    </row>
    <row r="145" spans="1:15" x14ac:dyDescent="0.25">
      <c r="A145" s="241" t="s">
        <v>707</v>
      </c>
      <c r="B145" s="241" t="s">
        <v>591</v>
      </c>
      <c r="C145" s="242">
        <v>14214.12</v>
      </c>
      <c r="D145" s="242">
        <v>10810.26</v>
      </c>
      <c r="E145" s="242">
        <v>20543.28</v>
      </c>
      <c r="F145" s="242">
        <v>12961.94</v>
      </c>
      <c r="G145" s="242">
        <v>19932.78</v>
      </c>
      <c r="H145" s="242">
        <v>14802.02</v>
      </c>
      <c r="I145" s="242">
        <v>14823.64</v>
      </c>
      <c r="J145" s="242">
        <v>43560.62</v>
      </c>
      <c r="K145" s="242">
        <v>6903.24</v>
      </c>
      <c r="L145" s="242">
        <v>16321.84</v>
      </c>
      <c r="M145" s="242">
        <v>34647.980000000003</v>
      </c>
      <c r="N145" s="242">
        <v>20122.22</v>
      </c>
      <c r="O145" s="242">
        <v>229643.94</v>
      </c>
    </row>
    <row r="146" spans="1:15" x14ac:dyDescent="0.25">
      <c r="A146" s="241" t="s">
        <v>708</v>
      </c>
      <c r="B146" s="241" t="s">
        <v>592</v>
      </c>
      <c r="C146" s="243"/>
      <c r="D146" s="243"/>
      <c r="E146" s="243"/>
      <c r="F146" s="243"/>
      <c r="G146" s="242">
        <v>72.2</v>
      </c>
      <c r="H146" s="243"/>
      <c r="I146" s="243"/>
      <c r="J146" s="242">
        <v>848</v>
      </c>
      <c r="K146" s="242">
        <v>546.4</v>
      </c>
      <c r="L146" s="243"/>
      <c r="M146" s="242">
        <v>1324</v>
      </c>
      <c r="N146" s="242">
        <v>324</v>
      </c>
      <c r="O146" s="242">
        <v>3114.6</v>
      </c>
    </row>
    <row r="147" spans="1:15" x14ac:dyDescent="0.25">
      <c r="A147" s="241" t="s">
        <v>1486</v>
      </c>
      <c r="B147" s="241" t="s">
        <v>637</v>
      </c>
      <c r="C147" s="242">
        <v>731.07</v>
      </c>
      <c r="D147" s="243"/>
      <c r="E147" s="243"/>
      <c r="F147" s="243"/>
      <c r="G147" s="243"/>
      <c r="H147" s="243"/>
      <c r="I147" s="243"/>
      <c r="J147" s="243"/>
      <c r="K147" s="243"/>
      <c r="L147" s="243"/>
      <c r="M147" s="243"/>
      <c r="N147" s="243"/>
      <c r="O147" s="242">
        <v>731.07</v>
      </c>
    </row>
    <row r="148" spans="1:15" x14ac:dyDescent="0.25">
      <c r="A148" s="241" t="s">
        <v>709</v>
      </c>
      <c r="B148" s="241" t="s">
        <v>596</v>
      </c>
      <c r="C148" s="242">
        <v>4873.67</v>
      </c>
      <c r="D148" s="242">
        <v>5854.92</v>
      </c>
      <c r="E148" s="242">
        <v>4247.3599999999997</v>
      </c>
      <c r="F148" s="242">
        <v>6070.48</v>
      </c>
      <c r="G148" s="242">
        <v>6596.27</v>
      </c>
      <c r="H148" s="242">
        <v>5764.13</v>
      </c>
      <c r="I148" s="242">
        <v>6699.88</v>
      </c>
      <c r="J148" s="242">
        <v>18595.490000000002</v>
      </c>
      <c r="K148" s="242">
        <v>5542.94</v>
      </c>
      <c r="L148" s="242">
        <v>6973.75</v>
      </c>
      <c r="M148" s="242">
        <v>7058.82</v>
      </c>
      <c r="N148" s="242">
        <v>4645.47</v>
      </c>
      <c r="O148" s="242">
        <v>82923.179999999993</v>
      </c>
    </row>
    <row r="149" spans="1:15" x14ac:dyDescent="0.25">
      <c r="A149" s="241" t="s">
        <v>710</v>
      </c>
      <c r="B149" s="241" t="s">
        <v>599</v>
      </c>
      <c r="C149" s="242">
        <v>9585.6</v>
      </c>
      <c r="D149" s="242">
        <v>12916.42</v>
      </c>
      <c r="E149" s="242">
        <v>11361.82</v>
      </c>
      <c r="F149" s="242">
        <v>8549.76</v>
      </c>
      <c r="G149" s="242">
        <v>8332.16</v>
      </c>
      <c r="H149" s="242">
        <v>9465.6200000000008</v>
      </c>
      <c r="I149" s="242">
        <v>11719.48</v>
      </c>
      <c r="J149" s="242">
        <v>12449</v>
      </c>
      <c r="K149" s="242">
        <v>11158.32</v>
      </c>
      <c r="L149" s="242">
        <v>10943.86</v>
      </c>
      <c r="M149" s="242">
        <v>7307.06</v>
      </c>
      <c r="N149" s="242">
        <v>10427.68</v>
      </c>
      <c r="O149" s="242">
        <v>124216.78</v>
      </c>
    </row>
    <row r="150" spans="1:15" x14ac:dyDescent="0.25">
      <c r="A150" s="241" t="s">
        <v>711</v>
      </c>
      <c r="B150" s="241" t="s">
        <v>601</v>
      </c>
      <c r="C150" s="242">
        <v>337509.06</v>
      </c>
      <c r="D150" s="242">
        <v>282006.67</v>
      </c>
      <c r="E150" s="242">
        <v>270366.71999999997</v>
      </c>
      <c r="F150" s="242">
        <v>261173.02</v>
      </c>
      <c r="G150" s="242">
        <v>295959.28999999998</v>
      </c>
      <c r="H150" s="242">
        <v>303414.8</v>
      </c>
      <c r="I150" s="242">
        <v>436044.47</v>
      </c>
      <c r="J150" s="242">
        <v>583197.35</v>
      </c>
      <c r="K150" s="242">
        <v>428780.35</v>
      </c>
      <c r="L150" s="242">
        <v>328122.38</v>
      </c>
      <c r="M150" s="242">
        <v>362861.53</v>
      </c>
      <c r="N150" s="242">
        <v>324661.38</v>
      </c>
      <c r="O150" s="242">
        <v>4214097.0199999996</v>
      </c>
    </row>
    <row r="151" spans="1:15" x14ac:dyDescent="0.25">
      <c r="A151" s="241" t="s">
        <v>712</v>
      </c>
      <c r="B151" s="241" t="s">
        <v>603</v>
      </c>
      <c r="C151" s="242">
        <v>-215419.1</v>
      </c>
      <c r="D151" s="242">
        <v>-251889.38</v>
      </c>
      <c r="E151" s="242">
        <v>-205712.82</v>
      </c>
      <c r="F151" s="242">
        <v>-243229.1</v>
      </c>
      <c r="G151" s="242">
        <v>-245387.75</v>
      </c>
      <c r="H151" s="242">
        <v>-252720.26</v>
      </c>
      <c r="I151" s="242">
        <v>-309217.56</v>
      </c>
      <c r="J151" s="242">
        <v>-392827.19</v>
      </c>
      <c r="K151" s="242">
        <v>-327513.45</v>
      </c>
      <c r="L151" s="242">
        <v>-291933.33</v>
      </c>
      <c r="M151" s="242">
        <v>-305702.83</v>
      </c>
      <c r="N151" s="242">
        <v>-254573.56</v>
      </c>
      <c r="O151" s="242">
        <v>-3296126.33</v>
      </c>
    </row>
    <row r="152" spans="1:15" x14ac:dyDescent="0.25">
      <c r="A152" s="241" t="s">
        <v>713</v>
      </c>
      <c r="B152" s="241" t="s">
        <v>623</v>
      </c>
      <c r="C152" s="242">
        <v>-1260591.08</v>
      </c>
      <c r="D152" s="242">
        <v>-1277857.08</v>
      </c>
      <c r="E152" s="242">
        <v>-1155213.02</v>
      </c>
      <c r="F152" s="242">
        <v>-1139772.54</v>
      </c>
      <c r="G152" s="242">
        <v>-439880.4</v>
      </c>
      <c r="H152" s="242">
        <v>-1119464.77</v>
      </c>
      <c r="I152" s="242">
        <v>-1483315.48</v>
      </c>
      <c r="J152" s="242">
        <v>-1294369.1399999999</v>
      </c>
      <c r="K152" s="242">
        <v>-1445846.15</v>
      </c>
      <c r="L152" s="242">
        <v>-1259747.77</v>
      </c>
      <c r="M152" s="242">
        <v>-1317339.92</v>
      </c>
      <c r="N152" s="242">
        <v>-1269704.18</v>
      </c>
      <c r="O152" s="242">
        <v>-14463101.529999999</v>
      </c>
    </row>
    <row r="153" spans="1:15" x14ac:dyDescent="0.25">
      <c r="A153" s="241" t="s">
        <v>714</v>
      </c>
      <c r="B153" s="241" t="s">
        <v>627</v>
      </c>
      <c r="C153" s="242">
        <v>-42.43</v>
      </c>
      <c r="D153" s="242">
        <v>159.03</v>
      </c>
      <c r="E153" s="242">
        <v>95.47</v>
      </c>
      <c r="F153" s="242">
        <v>137.66999999999999</v>
      </c>
      <c r="G153" s="242">
        <v>84.94</v>
      </c>
      <c r="H153" s="242">
        <v>43.89</v>
      </c>
      <c r="I153" s="243"/>
      <c r="J153" s="242">
        <v>-28.48</v>
      </c>
      <c r="K153" s="242">
        <v>-36.85</v>
      </c>
      <c r="L153" s="242">
        <v>47.86</v>
      </c>
      <c r="M153" s="243"/>
      <c r="N153" s="243"/>
      <c r="O153" s="242">
        <v>461.1</v>
      </c>
    </row>
    <row r="154" spans="1:15" x14ac:dyDescent="0.25">
      <c r="A154" s="241" t="s">
        <v>1389</v>
      </c>
      <c r="B154" s="241" t="s">
        <v>1390</v>
      </c>
      <c r="C154" s="243"/>
      <c r="D154" s="243"/>
      <c r="E154" s="242">
        <v>-1843.29</v>
      </c>
      <c r="F154" s="243"/>
      <c r="G154" s="243"/>
      <c r="H154" s="243"/>
      <c r="I154" s="243"/>
      <c r="J154" s="243"/>
      <c r="K154" s="243"/>
      <c r="L154" s="243"/>
      <c r="M154" s="243"/>
      <c r="N154" s="243"/>
      <c r="O154" s="242">
        <v>-1843.29</v>
      </c>
    </row>
    <row r="155" spans="1:15" x14ac:dyDescent="0.25">
      <c r="A155" s="241" t="s">
        <v>715</v>
      </c>
      <c r="B155" s="241" t="s">
        <v>605</v>
      </c>
      <c r="C155" s="244">
        <v>-22809.74</v>
      </c>
      <c r="D155" s="244">
        <v>-23736.16</v>
      </c>
      <c r="E155" s="244">
        <v>-36356.11</v>
      </c>
      <c r="F155" s="244">
        <v>-32615.11</v>
      </c>
      <c r="G155" s="244">
        <v>-18036.62</v>
      </c>
      <c r="H155" s="244">
        <v>17010.759999999998</v>
      </c>
      <c r="I155" s="244">
        <v>-14108.02</v>
      </c>
      <c r="J155" s="244">
        <v>-35514.43</v>
      </c>
      <c r="K155" s="244">
        <v>-76072.05</v>
      </c>
      <c r="L155" s="244">
        <v>-55303.59</v>
      </c>
      <c r="M155" s="244">
        <v>-61629.19</v>
      </c>
      <c r="N155" s="244">
        <v>-37350.589999999997</v>
      </c>
      <c r="O155" s="244">
        <v>-396520.85</v>
      </c>
    </row>
    <row r="156" spans="1:15" x14ac:dyDescent="0.25">
      <c r="A156" s="239"/>
      <c r="B156" s="239" t="s">
        <v>716</v>
      </c>
      <c r="C156" s="245">
        <v>1199951.26</v>
      </c>
      <c r="D156" s="245">
        <v>1158330.45</v>
      </c>
      <c r="E156" s="245">
        <v>1116621.1100000001</v>
      </c>
      <c r="F156" s="245">
        <v>1198985.95</v>
      </c>
      <c r="G156" s="245">
        <v>1451158.52</v>
      </c>
      <c r="H156" s="245">
        <v>1374273.15</v>
      </c>
      <c r="I156" s="245">
        <v>1617475.26</v>
      </c>
      <c r="J156" s="245">
        <v>1932349.13</v>
      </c>
      <c r="K156" s="245">
        <v>1431017.42</v>
      </c>
      <c r="L156" s="245">
        <v>1259303.1100000001</v>
      </c>
      <c r="M156" s="245">
        <v>1366235.39</v>
      </c>
      <c r="N156" s="245">
        <v>1369527.86</v>
      </c>
      <c r="O156" s="245">
        <v>16475228.609999999</v>
      </c>
    </row>
    <row r="157" spans="1:15" x14ac:dyDescent="0.25">
      <c r="A157" s="235"/>
      <c r="B157" s="235"/>
      <c r="C157" s="236"/>
      <c r="D157" s="236"/>
      <c r="E157" s="236"/>
      <c r="F157" s="236"/>
      <c r="G157" s="236"/>
      <c r="H157" s="236"/>
      <c r="I157" s="236"/>
      <c r="J157" s="236"/>
      <c r="K157" s="236"/>
      <c r="L157" s="236"/>
      <c r="M157" s="236"/>
      <c r="N157" s="236"/>
      <c r="O157" s="236"/>
    </row>
    <row r="158" spans="1:15" x14ac:dyDescent="0.25">
      <c r="A158" s="239"/>
      <c r="B158" s="239" t="s">
        <v>717</v>
      </c>
      <c r="C158" s="247"/>
      <c r="D158" s="247"/>
      <c r="E158" s="247"/>
      <c r="F158" s="247"/>
      <c r="G158" s="247"/>
      <c r="H158" s="247"/>
      <c r="I158" s="247"/>
      <c r="J158" s="247"/>
      <c r="K158" s="247"/>
      <c r="L158" s="247"/>
      <c r="M158" s="247"/>
      <c r="N158" s="247"/>
      <c r="O158" s="247"/>
    </row>
    <row r="159" spans="1:15" x14ac:dyDescent="0.25">
      <c r="A159" s="235"/>
      <c r="B159" s="235"/>
      <c r="C159" s="236"/>
      <c r="D159" s="236"/>
      <c r="E159" s="236"/>
      <c r="F159" s="236"/>
      <c r="G159" s="236"/>
      <c r="H159" s="236"/>
      <c r="I159" s="236"/>
      <c r="J159" s="236"/>
      <c r="K159" s="236"/>
      <c r="L159" s="236"/>
      <c r="M159" s="236"/>
      <c r="N159" s="236"/>
      <c r="O159" s="236"/>
    </row>
    <row r="160" spans="1:15" x14ac:dyDescent="0.25">
      <c r="A160" s="239"/>
      <c r="B160" s="239" t="s">
        <v>718</v>
      </c>
      <c r="C160" s="240"/>
      <c r="D160" s="240"/>
      <c r="E160" s="240"/>
      <c r="F160" s="240"/>
      <c r="G160" s="240"/>
      <c r="H160" s="240"/>
      <c r="I160" s="240"/>
      <c r="J160" s="240"/>
      <c r="K160" s="240"/>
      <c r="L160" s="240"/>
      <c r="M160" s="240"/>
      <c r="N160" s="240"/>
      <c r="O160" s="240"/>
    </row>
    <row r="161" spans="1:15" x14ac:dyDescent="0.25">
      <c r="A161" s="241" t="s">
        <v>719</v>
      </c>
      <c r="B161" s="241" t="s">
        <v>585</v>
      </c>
      <c r="C161" s="242">
        <v>32400</v>
      </c>
      <c r="D161" s="242">
        <v>31400</v>
      </c>
      <c r="E161" s="242">
        <v>43310</v>
      </c>
      <c r="F161" s="242">
        <v>21890</v>
      </c>
      <c r="G161" s="242">
        <v>36200</v>
      </c>
      <c r="H161" s="242">
        <v>39800</v>
      </c>
      <c r="I161" s="242">
        <v>44200</v>
      </c>
      <c r="J161" s="242">
        <v>51200</v>
      </c>
      <c r="K161" s="242">
        <v>54200</v>
      </c>
      <c r="L161" s="242">
        <v>55800</v>
      </c>
      <c r="M161" s="242">
        <v>59000</v>
      </c>
      <c r="N161" s="242">
        <v>65800</v>
      </c>
      <c r="O161" s="242">
        <v>535200</v>
      </c>
    </row>
    <row r="162" spans="1:15" x14ac:dyDescent="0.25">
      <c r="A162" s="241" t="s">
        <v>1519</v>
      </c>
      <c r="B162" s="241" t="s">
        <v>1520</v>
      </c>
      <c r="C162" s="243"/>
      <c r="D162" s="243"/>
      <c r="E162" s="243"/>
      <c r="F162" s="243"/>
      <c r="G162" s="242">
        <v>108</v>
      </c>
      <c r="H162" s="243"/>
      <c r="I162" s="243"/>
      <c r="J162" s="243"/>
      <c r="K162" s="243"/>
      <c r="L162" s="243"/>
      <c r="M162" s="243"/>
      <c r="N162" s="243"/>
      <c r="O162" s="242">
        <v>108</v>
      </c>
    </row>
    <row r="163" spans="1:15" x14ac:dyDescent="0.25">
      <c r="A163" s="241" t="s">
        <v>1521</v>
      </c>
      <c r="B163" s="241" t="s">
        <v>597</v>
      </c>
      <c r="C163" s="243"/>
      <c r="D163" s="243"/>
      <c r="E163" s="243"/>
      <c r="F163" s="243"/>
      <c r="G163" s="242">
        <v>420</v>
      </c>
      <c r="H163" s="242">
        <v>420</v>
      </c>
      <c r="I163" s="242">
        <v>1260</v>
      </c>
      <c r="J163" s="242">
        <v>140</v>
      </c>
      <c r="K163" s="242">
        <v>700</v>
      </c>
      <c r="L163" s="242">
        <v>420</v>
      </c>
      <c r="M163" s="242">
        <v>1120</v>
      </c>
      <c r="N163" s="242">
        <v>420</v>
      </c>
      <c r="O163" s="242">
        <v>4900</v>
      </c>
    </row>
    <row r="164" spans="1:15" x14ac:dyDescent="0.25">
      <c r="A164" s="241" t="s">
        <v>1522</v>
      </c>
      <c r="B164" s="241" t="s">
        <v>603</v>
      </c>
      <c r="C164" s="246"/>
      <c r="D164" s="246"/>
      <c r="E164" s="246"/>
      <c r="F164" s="246"/>
      <c r="G164" s="244">
        <v>-168</v>
      </c>
      <c r="H164" s="244">
        <v>-120</v>
      </c>
      <c r="I164" s="244">
        <v>-960</v>
      </c>
      <c r="J164" s="244">
        <v>-40</v>
      </c>
      <c r="K164" s="244">
        <v>-200</v>
      </c>
      <c r="L164" s="244">
        <v>-120</v>
      </c>
      <c r="M164" s="244">
        <v>-320</v>
      </c>
      <c r="N164" s="244">
        <v>-120</v>
      </c>
      <c r="O164" s="244">
        <v>-2048</v>
      </c>
    </row>
    <row r="165" spans="1:15" x14ac:dyDescent="0.25">
      <c r="A165" s="239"/>
      <c r="B165" s="239" t="s">
        <v>720</v>
      </c>
      <c r="C165" s="245">
        <v>32400</v>
      </c>
      <c r="D165" s="245">
        <v>31400</v>
      </c>
      <c r="E165" s="245">
        <v>43310</v>
      </c>
      <c r="F165" s="245">
        <v>21890</v>
      </c>
      <c r="G165" s="245">
        <v>36560</v>
      </c>
      <c r="H165" s="245">
        <v>40100</v>
      </c>
      <c r="I165" s="245">
        <v>44500</v>
      </c>
      <c r="J165" s="245">
        <v>51300</v>
      </c>
      <c r="K165" s="245">
        <v>54700</v>
      </c>
      <c r="L165" s="245">
        <v>56100</v>
      </c>
      <c r="M165" s="245">
        <v>59800</v>
      </c>
      <c r="N165" s="245">
        <v>66100</v>
      </c>
      <c r="O165" s="245">
        <v>538160</v>
      </c>
    </row>
    <row r="166" spans="1:15" x14ac:dyDescent="0.25">
      <c r="A166" s="235"/>
      <c r="B166" s="235"/>
      <c r="C166" s="236"/>
      <c r="D166" s="236"/>
      <c r="E166" s="236"/>
      <c r="F166" s="236"/>
      <c r="G166" s="236"/>
      <c r="H166" s="236"/>
      <c r="I166" s="236"/>
      <c r="J166" s="236"/>
      <c r="K166" s="236"/>
      <c r="L166" s="236"/>
      <c r="M166" s="236"/>
      <c r="N166" s="236"/>
      <c r="O166" s="236"/>
    </row>
    <row r="167" spans="1:15" x14ac:dyDescent="0.25">
      <c r="A167" s="239"/>
      <c r="B167" s="239" t="s">
        <v>721</v>
      </c>
      <c r="C167" s="240"/>
      <c r="D167" s="240"/>
      <c r="E167" s="240"/>
      <c r="F167" s="240"/>
      <c r="G167" s="240"/>
      <c r="H167" s="240"/>
      <c r="I167" s="240"/>
      <c r="J167" s="240"/>
      <c r="K167" s="240"/>
      <c r="L167" s="240"/>
      <c r="M167" s="240"/>
      <c r="N167" s="240"/>
      <c r="O167" s="240"/>
    </row>
    <row r="168" spans="1:15" x14ac:dyDescent="0.25">
      <c r="A168" s="241" t="s">
        <v>722</v>
      </c>
      <c r="B168" s="241" t="s">
        <v>573</v>
      </c>
      <c r="C168" s="242">
        <v>771936.24</v>
      </c>
      <c r="D168" s="242">
        <v>790836.43</v>
      </c>
      <c r="E168" s="242">
        <v>659762.92000000004</v>
      </c>
      <c r="F168" s="242">
        <v>622363.6</v>
      </c>
      <c r="G168" s="242">
        <v>674035.44</v>
      </c>
      <c r="H168" s="242">
        <v>542357</v>
      </c>
      <c r="I168" s="242">
        <v>669280.76</v>
      </c>
      <c r="J168" s="242">
        <v>666041.56000000006</v>
      </c>
      <c r="K168" s="242">
        <v>741677.24</v>
      </c>
      <c r="L168" s="242">
        <v>694603.36</v>
      </c>
      <c r="M168" s="242">
        <v>1016350</v>
      </c>
      <c r="N168" s="242">
        <v>1004153.16</v>
      </c>
      <c r="O168" s="242">
        <v>8853397.7100000009</v>
      </c>
    </row>
    <row r="169" spans="1:15" x14ac:dyDescent="0.25">
      <c r="A169" s="241" t="s">
        <v>723</v>
      </c>
      <c r="B169" s="241" t="s">
        <v>575</v>
      </c>
      <c r="C169" s="242">
        <v>31.5</v>
      </c>
      <c r="D169" s="243"/>
      <c r="E169" s="243"/>
      <c r="F169" s="243"/>
      <c r="G169" s="243"/>
      <c r="H169" s="243"/>
      <c r="I169" s="243"/>
      <c r="J169" s="243"/>
      <c r="K169" s="243"/>
      <c r="L169" s="243"/>
      <c r="M169" s="243"/>
      <c r="N169" s="243"/>
      <c r="O169" s="242">
        <v>31.5</v>
      </c>
    </row>
    <row r="170" spans="1:15" x14ac:dyDescent="0.25">
      <c r="A170" s="241" t="s">
        <v>724</v>
      </c>
      <c r="B170" s="241" t="s">
        <v>577</v>
      </c>
      <c r="C170" s="242">
        <v>1646.37</v>
      </c>
      <c r="D170" s="242">
        <v>1435.91</v>
      </c>
      <c r="E170" s="242">
        <v>349.01</v>
      </c>
      <c r="F170" s="242">
        <v>-883.59</v>
      </c>
      <c r="G170" s="242">
        <v>606.52</v>
      </c>
      <c r="H170" s="242">
        <v>2715.16</v>
      </c>
      <c r="I170" s="242">
        <v>1119.22</v>
      </c>
      <c r="J170" s="242">
        <v>557.34</v>
      </c>
      <c r="K170" s="242">
        <v>1038.92</v>
      </c>
      <c r="L170" s="242">
        <v>76.77</v>
      </c>
      <c r="M170" s="242">
        <v>78.430000000000007</v>
      </c>
      <c r="N170" s="242">
        <v>716.76</v>
      </c>
      <c r="O170" s="242">
        <v>9456.82</v>
      </c>
    </row>
    <row r="171" spans="1:15" x14ac:dyDescent="0.25">
      <c r="A171" s="241" t="s">
        <v>725</v>
      </c>
      <c r="B171" s="241" t="s">
        <v>579</v>
      </c>
      <c r="C171" s="242">
        <v>424.56</v>
      </c>
      <c r="D171" s="242">
        <v>634</v>
      </c>
      <c r="E171" s="242">
        <v>494.3</v>
      </c>
      <c r="F171" s="242">
        <v>129.32</v>
      </c>
      <c r="G171" s="242">
        <v>566.5</v>
      </c>
      <c r="H171" s="242">
        <v>72.2</v>
      </c>
      <c r="I171" s="242">
        <v>202.78</v>
      </c>
      <c r="J171" s="242">
        <v>-382.28</v>
      </c>
      <c r="K171" s="242">
        <v>772.22</v>
      </c>
      <c r="L171" s="242">
        <v>1038.5</v>
      </c>
      <c r="M171" s="242">
        <v>235.5</v>
      </c>
      <c r="N171" s="242">
        <v>460.44</v>
      </c>
      <c r="O171" s="242">
        <v>4648.04</v>
      </c>
    </row>
    <row r="172" spans="1:15" x14ac:dyDescent="0.25">
      <c r="A172" s="241" t="s">
        <v>726</v>
      </c>
      <c r="B172" s="241" t="s">
        <v>581</v>
      </c>
      <c r="C172" s="243"/>
      <c r="D172" s="243"/>
      <c r="E172" s="243"/>
      <c r="F172" s="243"/>
      <c r="G172" s="243"/>
      <c r="H172" s="242">
        <v>23.58</v>
      </c>
      <c r="I172" s="243"/>
      <c r="J172" s="243"/>
      <c r="K172" s="242">
        <v>82.02</v>
      </c>
      <c r="L172" s="243"/>
      <c r="M172" s="242">
        <v>81.819999999999993</v>
      </c>
      <c r="N172" s="243"/>
      <c r="O172" s="242">
        <v>187.42</v>
      </c>
    </row>
    <row r="173" spans="1:15" x14ac:dyDescent="0.25">
      <c r="A173" s="241" t="s">
        <v>727</v>
      </c>
      <c r="B173" s="241" t="s">
        <v>585</v>
      </c>
      <c r="C173" s="242">
        <v>4760.3999999999996</v>
      </c>
      <c r="D173" s="243"/>
      <c r="E173" s="243"/>
      <c r="F173" s="242">
        <v>579.52</v>
      </c>
      <c r="G173" s="242">
        <v>1827.38</v>
      </c>
      <c r="H173" s="242">
        <v>1624.64</v>
      </c>
      <c r="I173" s="242">
        <v>219.3</v>
      </c>
      <c r="J173" s="243"/>
      <c r="K173" s="243"/>
      <c r="L173" s="242">
        <v>595.20000000000005</v>
      </c>
      <c r="M173" s="242">
        <v>1754.18</v>
      </c>
      <c r="N173" s="242">
        <v>1815.92</v>
      </c>
      <c r="O173" s="242">
        <v>13176.54</v>
      </c>
    </row>
    <row r="174" spans="1:15" x14ac:dyDescent="0.25">
      <c r="A174" s="241" t="s">
        <v>728</v>
      </c>
      <c r="B174" s="241" t="s">
        <v>587</v>
      </c>
      <c r="C174" s="242">
        <v>2759.18</v>
      </c>
      <c r="D174" s="243"/>
      <c r="E174" s="243"/>
      <c r="F174" s="242">
        <v>168.46</v>
      </c>
      <c r="G174" s="242">
        <v>-123.01</v>
      </c>
      <c r="H174" s="243"/>
      <c r="I174" s="243"/>
      <c r="J174" s="243"/>
      <c r="K174" s="243"/>
      <c r="L174" s="243"/>
      <c r="M174" s="243"/>
      <c r="N174" s="242">
        <v>1067.8</v>
      </c>
      <c r="O174" s="242">
        <v>3872.43</v>
      </c>
    </row>
    <row r="175" spans="1:15" x14ac:dyDescent="0.25">
      <c r="A175" s="241" t="s">
        <v>729</v>
      </c>
      <c r="B175" s="241" t="s">
        <v>589</v>
      </c>
      <c r="C175" s="242">
        <v>5590.96</v>
      </c>
      <c r="D175" s="243"/>
      <c r="E175" s="243"/>
      <c r="F175" s="243"/>
      <c r="G175" s="242">
        <v>2011.38</v>
      </c>
      <c r="H175" s="242">
        <v>237.08</v>
      </c>
      <c r="I175" s="242">
        <v>136.32</v>
      </c>
      <c r="J175" s="243"/>
      <c r="K175" s="242">
        <v>190.3</v>
      </c>
      <c r="L175" s="243"/>
      <c r="M175" s="242">
        <v>1890.92</v>
      </c>
      <c r="N175" s="242">
        <v>3871.14</v>
      </c>
      <c r="O175" s="242">
        <v>13928.1</v>
      </c>
    </row>
    <row r="176" spans="1:15" x14ac:dyDescent="0.25">
      <c r="A176" s="241" t="s">
        <v>730</v>
      </c>
      <c r="B176" s="241" t="s">
        <v>591</v>
      </c>
      <c r="C176" s="242">
        <v>4073.2</v>
      </c>
      <c r="D176" s="242">
        <v>689.1</v>
      </c>
      <c r="E176" s="242">
        <v>12644.3</v>
      </c>
      <c r="F176" s="242">
        <v>-10561.2</v>
      </c>
      <c r="G176" s="242">
        <v>18389.400000000001</v>
      </c>
      <c r="H176" s="242">
        <v>4323.8</v>
      </c>
      <c r="I176" s="242">
        <v>4496.8999999999996</v>
      </c>
      <c r="J176" s="242">
        <v>4114.3999999999996</v>
      </c>
      <c r="K176" s="242">
        <v>6469.3</v>
      </c>
      <c r="L176" s="242">
        <v>6641.52</v>
      </c>
      <c r="M176" s="242">
        <v>5622.1</v>
      </c>
      <c r="N176" s="242">
        <v>6423.6</v>
      </c>
      <c r="O176" s="242">
        <v>63326.42</v>
      </c>
    </row>
    <row r="177" spans="1:15" x14ac:dyDescent="0.25">
      <c r="A177" s="241" t="s">
        <v>731</v>
      </c>
      <c r="B177" s="241" t="s">
        <v>596</v>
      </c>
      <c r="C177" s="242">
        <v>359.21</v>
      </c>
      <c r="D177" s="242">
        <v>268.81</v>
      </c>
      <c r="E177" s="242">
        <v>372.6</v>
      </c>
      <c r="F177" s="242">
        <v>44.95</v>
      </c>
      <c r="G177" s="242">
        <v>299.87</v>
      </c>
      <c r="H177" s="242">
        <v>383.89</v>
      </c>
      <c r="I177" s="242">
        <v>277.93</v>
      </c>
      <c r="J177" s="242">
        <v>531.86</v>
      </c>
      <c r="K177" s="242">
        <v>380.67</v>
      </c>
      <c r="L177" s="242">
        <v>361.63</v>
      </c>
      <c r="M177" s="242">
        <v>220.67</v>
      </c>
      <c r="N177" s="242">
        <v>199.91</v>
      </c>
      <c r="O177" s="242">
        <v>3702</v>
      </c>
    </row>
    <row r="178" spans="1:15" x14ac:dyDescent="0.25">
      <c r="A178" s="241" t="s">
        <v>732</v>
      </c>
      <c r="B178" s="241" t="s">
        <v>599</v>
      </c>
      <c r="C178" s="243"/>
      <c r="D178" s="243"/>
      <c r="E178" s="243"/>
      <c r="F178" s="243"/>
      <c r="G178" s="243"/>
      <c r="H178" s="243"/>
      <c r="I178" s="242">
        <v>67.92</v>
      </c>
      <c r="J178" s="243"/>
      <c r="K178" s="243"/>
      <c r="L178" s="243"/>
      <c r="M178" s="243"/>
      <c r="N178" s="243"/>
      <c r="O178" s="242">
        <v>67.92</v>
      </c>
    </row>
    <row r="179" spans="1:15" x14ac:dyDescent="0.25">
      <c r="A179" s="241" t="s">
        <v>733</v>
      </c>
      <c r="B179" s="241" t="s">
        <v>601</v>
      </c>
      <c r="C179" s="242">
        <v>-93859.73</v>
      </c>
      <c r="D179" s="242">
        <v>-16003.67</v>
      </c>
      <c r="E179" s="242">
        <v>-53127.360000000001</v>
      </c>
      <c r="F179" s="242">
        <v>-51168.15</v>
      </c>
      <c r="G179" s="242">
        <v>-62676.74</v>
      </c>
      <c r="H179" s="242">
        <v>-55188.34</v>
      </c>
      <c r="I179" s="242">
        <v>-72108.27</v>
      </c>
      <c r="J179" s="242">
        <v>-71160.649999999994</v>
      </c>
      <c r="K179" s="242">
        <v>37361.01</v>
      </c>
      <c r="L179" s="242">
        <v>-57024.15</v>
      </c>
      <c r="M179" s="242">
        <v>-34909.629999999997</v>
      </c>
      <c r="N179" s="242">
        <v>-35200.519999999997</v>
      </c>
      <c r="O179" s="242">
        <v>-565066.19999999995</v>
      </c>
    </row>
    <row r="180" spans="1:15" x14ac:dyDescent="0.25">
      <c r="A180" s="241" t="s">
        <v>734</v>
      </c>
      <c r="B180" s="241" t="s">
        <v>603</v>
      </c>
      <c r="C180" s="242">
        <v>-6464.61</v>
      </c>
      <c r="D180" s="242">
        <v>-2746.9</v>
      </c>
      <c r="E180" s="242">
        <v>-13509.06</v>
      </c>
      <c r="F180" s="242">
        <v>11270.52</v>
      </c>
      <c r="G180" s="242">
        <v>-19651.599999999999</v>
      </c>
      <c r="H180" s="242">
        <v>-7448.4</v>
      </c>
      <c r="I180" s="242">
        <v>-6164.75</v>
      </c>
      <c r="J180" s="242">
        <v>-5032.01</v>
      </c>
      <c r="K180" s="242">
        <v>-8515.15</v>
      </c>
      <c r="L180" s="242">
        <v>-7697.04</v>
      </c>
      <c r="M180" s="242">
        <v>-6169.5</v>
      </c>
      <c r="N180" s="242">
        <v>-7660.25</v>
      </c>
      <c r="O180" s="242">
        <v>-79788.75</v>
      </c>
    </row>
    <row r="181" spans="1:15" x14ac:dyDescent="0.25">
      <c r="A181" s="241" t="s">
        <v>735</v>
      </c>
      <c r="B181" s="241" t="s">
        <v>623</v>
      </c>
      <c r="C181" s="242">
        <v>-10726.96</v>
      </c>
      <c r="D181" s="243"/>
      <c r="E181" s="242">
        <v>-181.48</v>
      </c>
      <c r="F181" s="242">
        <v>-747.98</v>
      </c>
      <c r="G181" s="242">
        <v>-3715.75</v>
      </c>
      <c r="H181" s="242">
        <v>-9.7799999999999994</v>
      </c>
      <c r="I181" s="242">
        <v>-355.62</v>
      </c>
      <c r="J181" s="243"/>
      <c r="K181" s="242">
        <v>-190.3</v>
      </c>
      <c r="L181" s="242">
        <v>-595.20000000000005</v>
      </c>
      <c r="M181" s="242">
        <v>-3645.1</v>
      </c>
      <c r="N181" s="242">
        <v>-6754.86</v>
      </c>
      <c r="O181" s="242">
        <v>-26923.03</v>
      </c>
    </row>
    <row r="182" spans="1:15" x14ac:dyDescent="0.25">
      <c r="A182" s="241" t="s">
        <v>736</v>
      </c>
      <c r="B182" s="241" t="s">
        <v>605</v>
      </c>
      <c r="C182" s="244">
        <v>-165.95</v>
      </c>
      <c r="D182" s="244">
        <v>-207.99</v>
      </c>
      <c r="E182" s="244">
        <v>-4199.28</v>
      </c>
      <c r="F182" s="244">
        <v>-3647.84</v>
      </c>
      <c r="G182" s="244">
        <v>-191.1</v>
      </c>
      <c r="H182" s="244">
        <v>-4021.58</v>
      </c>
      <c r="I182" s="244">
        <v>680</v>
      </c>
      <c r="J182" s="244">
        <v>-742</v>
      </c>
      <c r="K182" s="244">
        <v>-6196.22</v>
      </c>
      <c r="L182" s="244">
        <v>-1931.34</v>
      </c>
      <c r="M182" s="244">
        <v>-2284.81</v>
      </c>
      <c r="N182" s="244">
        <v>-872.85</v>
      </c>
      <c r="O182" s="244">
        <v>-23780.959999999999</v>
      </c>
    </row>
    <row r="183" spans="1:15" x14ac:dyDescent="0.25">
      <c r="A183" s="239"/>
      <c r="B183" s="239" t="s">
        <v>737</v>
      </c>
      <c r="C183" s="245">
        <v>680364.37</v>
      </c>
      <c r="D183" s="245">
        <v>774905.69</v>
      </c>
      <c r="E183" s="245">
        <v>602605.94999999995</v>
      </c>
      <c r="F183" s="245">
        <v>567547.61</v>
      </c>
      <c r="G183" s="245">
        <v>611378.29</v>
      </c>
      <c r="H183" s="245">
        <v>485069.25</v>
      </c>
      <c r="I183" s="245">
        <v>597852.49</v>
      </c>
      <c r="J183" s="245">
        <v>593928.22</v>
      </c>
      <c r="K183" s="245">
        <v>773070.01</v>
      </c>
      <c r="L183" s="245">
        <v>636069.25</v>
      </c>
      <c r="M183" s="245">
        <v>979224.58</v>
      </c>
      <c r="N183" s="245">
        <v>968220.25</v>
      </c>
      <c r="O183" s="245">
        <v>8270235.96</v>
      </c>
    </row>
    <row r="184" spans="1:15" x14ac:dyDescent="0.25">
      <c r="A184" s="235"/>
      <c r="B184" s="235"/>
      <c r="C184" s="236"/>
      <c r="D184" s="236"/>
      <c r="E184" s="236"/>
      <c r="F184" s="236"/>
      <c r="G184" s="236"/>
      <c r="H184" s="236"/>
      <c r="I184" s="236"/>
      <c r="J184" s="236"/>
      <c r="K184" s="236"/>
      <c r="L184" s="236"/>
      <c r="M184" s="236"/>
      <c r="N184" s="236"/>
      <c r="O184" s="236"/>
    </row>
    <row r="185" spans="1:15" x14ac:dyDescent="0.25">
      <c r="A185" s="239"/>
      <c r="B185" s="239" t="s">
        <v>738</v>
      </c>
      <c r="C185" s="240"/>
      <c r="D185" s="240"/>
      <c r="E185" s="240"/>
      <c r="F185" s="240"/>
      <c r="G185" s="240"/>
      <c r="H185" s="240"/>
      <c r="I185" s="240"/>
      <c r="J185" s="240"/>
      <c r="K185" s="240"/>
      <c r="L185" s="240"/>
      <c r="M185" s="240"/>
      <c r="N185" s="240"/>
      <c r="O185" s="240"/>
    </row>
    <row r="186" spans="1:15" x14ac:dyDescent="0.25">
      <c r="A186" s="241" t="s">
        <v>1587</v>
      </c>
      <c r="B186" s="241" t="s">
        <v>605</v>
      </c>
      <c r="C186" s="246"/>
      <c r="D186" s="246"/>
      <c r="E186" s="246"/>
      <c r="F186" s="246"/>
      <c r="G186" s="246"/>
      <c r="H186" s="246"/>
      <c r="I186" s="244">
        <v>-78.41</v>
      </c>
      <c r="J186" s="244">
        <v>657.07</v>
      </c>
      <c r="K186" s="244">
        <v>851.88</v>
      </c>
      <c r="L186" s="246"/>
      <c r="M186" s="244">
        <v>310.14</v>
      </c>
      <c r="N186" s="246"/>
      <c r="O186" s="244">
        <v>1740.68</v>
      </c>
    </row>
    <row r="187" spans="1:15" x14ac:dyDescent="0.25">
      <c r="A187" s="239"/>
      <c r="B187" s="239" t="s">
        <v>1588</v>
      </c>
      <c r="C187" s="240"/>
      <c r="D187" s="240"/>
      <c r="E187" s="240"/>
      <c r="F187" s="240"/>
      <c r="G187" s="240"/>
      <c r="H187" s="240"/>
      <c r="I187" s="245">
        <v>-78.41</v>
      </c>
      <c r="J187" s="245">
        <v>657.07</v>
      </c>
      <c r="K187" s="245">
        <v>851.88</v>
      </c>
      <c r="L187" s="240"/>
      <c r="M187" s="245">
        <v>310.14</v>
      </c>
      <c r="N187" s="240"/>
      <c r="O187" s="245">
        <v>1740.68</v>
      </c>
    </row>
    <row r="188" spans="1:15" x14ac:dyDescent="0.25">
      <c r="A188" s="235"/>
      <c r="B188" s="235"/>
      <c r="C188" s="236"/>
      <c r="D188" s="236"/>
      <c r="E188" s="236"/>
      <c r="F188" s="236"/>
      <c r="G188" s="236"/>
      <c r="H188" s="236"/>
      <c r="I188" s="236"/>
      <c r="J188" s="236"/>
      <c r="K188" s="236"/>
      <c r="L188" s="236"/>
      <c r="M188" s="236"/>
      <c r="N188" s="236"/>
      <c r="O188" s="236"/>
    </row>
    <row r="189" spans="1:15" x14ac:dyDescent="0.25">
      <c r="A189" s="239"/>
      <c r="B189" s="239" t="s">
        <v>739</v>
      </c>
      <c r="C189" s="240"/>
      <c r="D189" s="240"/>
      <c r="E189" s="240"/>
      <c r="F189" s="240"/>
      <c r="G189" s="240"/>
      <c r="H189" s="240"/>
      <c r="I189" s="240"/>
      <c r="J189" s="240"/>
      <c r="K189" s="240"/>
      <c r="L189" s="240"/>
      <c r="M189" s="240"/>
      <c r="N189" s="240"/>
      <c r="O189" s="240"/>
    </row>
    <row r="190" spans="1:15" x14ac:dyDescent="0.25">
      <c r="A190" s="241" t="s">
        <v>740</v>
      </c>
      <c r="B190" s="241" t="s">
        <v>573</v>
      </c>
      <c r="C190" s="242">
        <v>66478</v>
      </c>
      <c r="D190" s="242">
        <v>61295</v>
      </c>
      <c r="E190" s="242">
        <v>56212</v>
      </c>
      <c r="F190" s="242">
        <v>58647</v>
      </c>
      <c r="G190" s="242">
        <v>55281</v>
      </c>
      <c r="H190" s="242">
        <v>48946</v>
      </c>
      <c r="I190" s="242">
        <v>57928</v>
      </c>
      <c r="J190" s="242">
        <v>54943</v>
      </c>
      <c r="K190" s="242">
        <v>57363</v>
      </c>
      <c r="L190" s="242">
        <v>74540</v>
      </c>
      <c r="M190" s="242">
        <v>61345</v>
      </c>
      <c r="N190" s="242">
        <v>47103</v>
      </c>
      <c r="O190" s="242">
        <v>700081</v>
      </c>
    </row>
    <row r="191" spans="1:15" x14ac:dyDescent="0.25">
      <c r="A191" s="241" t="s">
        <v>741</v>
      </c>
      <c r="B191" s="241" t="s">
        <v>577</v>
      </c>
      <c r="C191" s="242">
        <v>52800.29</v>
      </c>
      <c r="D191" s="242">
        <v>38863.379999999997</v>
      </c>
      <c r="E191" s="242">
        <v>32677.51</v>
      </c>
      <c r="F191" s="242">
        <v>35721.949999999997</v>
      </c>
      <c r="G191" s="242">
        <v>51074.9</v>
      </c>
      <c r="H191" s="242">
        <v>45697.61</v>
      </c>
      <c r="I191" s="242">
        <v>38044.730000000003</v>
      </c>
      <c r="J191" s="242">
        <v>51476.01</v>
      </c>
      <c r="K191" s="242">
        <v>51148.11</v>
      </c>
      <c r="L191" s="242">
        <v>54866.45</v>
      </c>
      <c r="M191" s="242">
        <v>14959.5</v>
      </c>
      <c r="N191" s="242">
        <v>25450.13</v>
      </c>
      <c r="O191" s="242">
        <v>492780.57</v>
      </c>
    </row>
    <row r="192" spans="1:15" x14ac:dyDescent="0.25">
      <c r="A192" s="241" t="s">
        <v>742</v>
      </c>
      <c r="B192" s="241" t="s">
        <v>587</v>
      </c>
      <c r="C192" s="242">
        <v>790.9</v>
      </c>
      <c r="D192" s="242">
        <v>185.36</v>
      </c>
      <c r="E192" s="242">
        <v>2549.7399999999998</v>
      </c>
      <c r="F192" s="242">
        <v>558.16</v>
      </c>
      <c r="G192" s="242">
        <v>88.88</v>
      </c>
      <c r="H192" s="242">
        <v>1672.04</v>
      </c>
      <c r="I192" s="242">
        <v>1993.66</v>
      </c>
      <c r="J192" s="242">
        <v>2084.2600000000002</v>
      </c>
      <c r="K192" s="242">
        <v>1213.1600000000001</v>
      </c>
      <c r="L192" s="242">
        <v>189.52</v>
      </c>
      <c r="M192" s="243"/>
      <c r="N192" s="242">
        <v>418.1</v>
      </c>
      <c r="O192" s="242">
        <v>11743.78</v>
      </c>
    </row>
    <row r="193" spans="1:15" x14ac:dyDescent="0.25">
      <c r="A193" s="241" t="s">
        <v>743</v>
      </c>
      <c r="B193" s="241" t="s">
        <v>601</v>
      </c>
      <c r="C193" s="242">
        <v>61503.32</v>
      </c>
      <c r="D193" s="242">
        <v>57417.33</v>
      </c>
      <c r="E193" s="242">
        <v>48112.44</v>
      </c>
      <c r="F193" s="242">
        <v>65641.08</v>
      </c>
      <c r="G193" s="242">
        <v>46838.75</v>
      </c>
      <c r="H193" s="242">
        <v>45175.93</v>
      </c>
      <c r="I193" s="242">
        <v>43587.4</v>
      </c>
      <c r="J193" s="242">
        <v>55209.55</v>
      </c>
      <c r="K193" s="242">
        <v>52397.66</v>
      </c>
      <c r="L193" s="242">
        <v>51674.66</v>
      </c>
      <c r="M193" s="242">
        <v>44548.26</v>
      </c>
      <c r="N193" s="242">
        <v>32234.02</v>
      </c>
      <c r="O193" s="242">
        <v>604340.4</v>
      </c>
    </row>
    <row r="194" spans="1:15" x14ac:dyDescent="0.25">
      <c r="A194" s="241" t="s">
        <v>744</v>
      </c>
      <c r="B194" s="241" t="s">
        <v>603</v>
      </c>
      <c r="C194" s="242">
        <v>-52800.29</v>
      </c>
      <c r="D194" s="242">
        <v>-38863.379999999997</v>
      </c>
      <c r="E194" s="242">
        <v>-32677.51</v>
      </c>
      <c r="F194" s="242">
        <v>-35721.949999999997</v>
      </c>
      <c r="G194" s="242">
        <v>-51074.9</v>
      </c>
      <c r="H194" s="242">
        <v>-45697.61</v>
      </c>
      <c r="I194" s="242">
        <v>-38044.730000000003</v>
      </c>
      <c r="J194" s="242">
        <v>-51476.01</v>
      </c>
      <c r="K194" s="242">
        <v>-51148.11</v>
      </c>
      <c r="L194" s="242">
        <v>-54866.45</v>
      </c>
      <c r="M194" s="242">
        <v>-14959.5</v>
      </c>
      <c r="N194" s="242">
        <v>-25450.13</v>
      </c>
      <c r="O194" s="242">
        <v>-492780.57</v>
      </c>
    </row>
    <row r="195" spans="1:15" x14ac:dyDescent="0.25">
      <c r="A195" s="241" t="s">
        <v>745</v>
      </c>
      <c r="B195" s="241" t="s">
        <v>623</v>
      </c>
      <c r="C195" s="242">
        <v>-790.9</v>
      </c>
      <c r="D195" s="242">
        <v>-185.36</v>
      </c>
      <c r="E195" s="242">
        <v>-2549.7399999999998</v>
      </c>
      <c r="F195" s="242">
        <v>-558.16</v>
      </c>
      <c r="G195" s="242">
        <v>-88.88</v>
      </c>
      <c r="H195" s="242">
        <v>-1672.04</v>
      </c>
      <c r="I195" s="242">
        <v>-1993.66</v>
      </c>
      <c r="J195" s="242">
        <v>-2084.2600000000002</v>
      </c>
      <c r="K195" s="242">
        <v>-1213.1600000000001</v>
      </c>
      <c r="L195" s="242">
        <v>-189.52</v>
      </c>
      <c r="M195" s="243"/>
      <c r="N195" s="242">
        <v>-418.1</v>
      </c>
      <c r="O195" s="242">
        <v>-11743.78</v>
      </c>
    </row>
    <row r="196" spans="1:15" x14ac:dyDescent="0.25">
      <c r="A196" s="241" t="s">
        <v>746</v>
      </c>
      <c r="B196" s="241" t="s">
        <v>605</v>
      </c>
      <c r="C196" s="244">
        <v>197.02</v>
      </c>
      <c r="D196" s="246"/>
      <c r="E196" s="246"/>
      <c r="F196" s="246"/>
      <c r="G196" s="246"/>
      <c r="H196" s="244">
        <v>1536.06</v>
      </c>
      <c r="I196" s="246"/>
      <c r="J196" s="246"/>
      <c r="K196" s="246"/>
      <c r="L196" s="246"/>
      <c r="M196" s="246"/>
      <c r="N196" s="246"/>
      <c r="O196" s="244">
        <v>1733.08</v>
      </c>
    </row>
    <row r="197" spans="1:15" x14ac:dyDescent="0.25">
      <c r="A197" s="239"/>
      <c r="B197" s="239" t="s">
        <v>747</v>
      </c>
      <c r="C197" s="245">
        <v>128178.34</v>
      </c>
      <c r="D197" s="245">
        <v>118712.33</v>
      </c>
      <c r="E197" s="245">
        <v>104324.44</v>
      </c>
      <c r="F197" s="245">
        <v>124288.08</v>
      </c>
      <c r="G197" s="245">
        <v>102119.75</v>
      </c>
      <c r="H197" s="245">
        <v>95657.99</v>
      </c>
      <c r="I197" s="245">
        <v>101515.4</v>
      </c>
      <c r="J197" s="245">
        <v>110152.55</v>
      </c>
      <c r="K197" s="245">
        <v>109760.66</v>
      </c>
      <c r="L197" s="245">
        <v>126214.66</v>
      </c>
      <c r="M197" s="245">
        <v>105893.26</v>
      </c>
      <c r="N197" s="245">
        <v>79337.02</v>
      </c>
      <c r="O197" s="245">
        <v>1306154.48</v>
      </c>
    </row>
    <row r="198" spans="1:15" x14ac:dyDescent="0.25">
      <c r="A198" s="235"/>
      <c r="B198" s="235"/>
      <c r="C198" s="236"/>
      <c r="D198" s="236"/>
      <c r="E198" s="236"/>
      <c r="F198" s="236"/>
      <c r="G198" s="236"/>
      <c r="H198" s="236"/>
      <c r="I198" s="236"/>
      <c r="J198" s="236"/>
      <c r="K198" s="236"/>
      <c r="L198" s="236"/>
      <c r="M198" s="236"/>
      <c r="N198" s="236"/>
      <c r="O198" s="236"/>
    </row>
    <row r="199" spans="1:15" x14ac:dyDescent="0.25">
      <c r="A199" s="239"/>
      <c r="B199" s="239" t="s">
        <v>748</v>
      </c>
      <c r="C199" s="240"/>
      <c r="D199" s="240"/>
      <c r="E199" s="240"/>
      <c r="F199" s="240"/>
      <c r="G199" s="240"/>
      <c r="H199" s="240"/>
      <c r="I199" s="240"/>
      <c r="J199" s="240"/>
      <c r="K199" s="240"/>
      <c r="L199" s="240"/>
      <c r="M199" s="240"/>
      <c r="N199" s="240"/>
      <c r="O199" s="240"/>
    </row>
    <row r="200" spans="1:15" x14ac:dyDescent="0.25">
      <c r="A200" s="241" t="s">
        <v>749</v>
      </c>
      <c r="B200" s="241" t="s">
        <v>573</v>
      </c>
      <c r="C200" s="242">
        <v>607125.48</v>
      </c>
      <c r="D200" s="242">
        <v>734952.41</v>
      </c>
      <c r="E200" s="242">
        <v>710492.21</v>
      </c>
      <c r="F200" s="242">
        <v>858859.2</v>
      </c>
      <c r="G200" s="242">
        <v>1130649.06</v>
      </c>
      <c r="H200" s="242">
        <v>948429.83</v>
      </c>
      <c r="I200" s="242">
        <v>985580.6</v>
      </c>
      <c r="J200" s="242">
        <v>449487.11</v>
      </c>
      <c r="K200" s="242">
        <v>799483.09</v>
      </c>
      <c r="L200" s="242">
        <v>921002.75</v>
      </c>
      <c r="M200" s="242">
        <v>687451.29</v>
      </c>
      <c r="N200" s="242">
        <v>739933.9</v>
      </c>
      <c r="O200" s="242">
        <v>9573446.9299999997</v>
      </c>
    </row>
    <row r="201" spans="1:15" x14ac:dyDescent="0.25">
      <c r="A201" s="241" t="s">
        <v>750</v>
      </c>
      <c r="B201" s="241" t="s">
        <v>575</v>
      </c>
      <c r="C201" s="242">
        <v>899.12</v>
      </c>
      <c r="D201" s="242">
        <v>6572.74</v>
      </c>
      <c r="E201" s="242">
        <v>893.98</v>
      </c>
      <c r="F201" s="242">
        <v>687.2</v>
      </c>
      <c r="G201" s="242">
        <v>1896.6</v>
      </c>
      <c r="H201" s="242">
        <v>1666.38</v>
      </c>
      <c r="I201" s="242">
        <v>1683.9</v>
      </c>
      <c r="J201" s="242">
        <v>1260.8800000000001</v>
      </c>
      <c r="K201" s="242">
        <v>1644.16</v>
      </c>
      <c r="L201" s="242">
        <v>251.52</v>
      </c>
      <c r="M201" s="242">
        <v>487.52</v>
      </c>
      <c r="N201" s="242">
        <v>345</v>
      </c>
      <c r="O201" s="242">
        <v>18289</v>
      </c>
    </row>
    <row r="202" spans="1:15" x14ac:dyDescent="0.25">
      <c r="A202" s="241" t="s">
        <v>751</v>
      </c>
      <c r="B202" s="241" t="s">
        <v>577</v>
      </c>
      <c r="C202" s="242">
        <v>133171.37</v>
      </c>
      <c r="D202" s="242">
        <v>173815.98</v>
      </c>
      <c r="E202" s="242">
        <v>158221.14000000001</v>
      </c>
      <c r="F202" s="242">
        <v>215032.59</v>
      </c>
      <c r="G202" s="242">
        <v>242707.95</v>
      </c>
      <c r="H202" s="242">
        <v>186088.83</v>
      </c>
      <c r="I202" s="242">
        <v>195640.75</v>
      </c>
      <c r="J202" s="242">
        <v>116747.35</v>
      </c>
      <c r="K202" s="242">
        <v>194743.31</v>
      </c>
      <c r="L202" s="242">
        <v>220880.68</v>
      </c>
      <c r="M202" s="242">
        <v>135308.34</v>
      </c>
      <c r="N202" s="242">
        <v>148260.82999999999</v>
      </c>
      <c r="O202" s="242">
        <v>2120619.12</v>
      </c>
    </row>
    <row r="203" spans="1:15" x14ac:dyDescent="0.25">
      <c r="A203" s="241" t="s">
        <v>752</v>
      </c>
      <c r="B203" s="241" t="s">
        <v>579</v>
      </c>
      <c r="C203" s="242">
        <v>1163.5999999999999</v>
      </c>
      <c r="D203" s="242">
        <v>1031.5999999999999</v>
      </c>
      <c r="E203" s="242">
        <v>721.52</v>
      </c>
      <c r="F203" s="242">
        <v>1424.78</v>
      </c>
      <c r="G203" s="242">
        <v>1362.92</v>
      </c>
      <c r="H203" s="242">
        <v>1785.92</v>
      </c>
      <c r="I203" s="242">
        <v>1414.58</v>
      </c>
      <c r="J203" s="242">
        <v>7.38</v>
      </c>
      <c r="K203" s="242">
        <v>1265.42</v>
      </c>
      <c r="L203" s="242">
        <v>1477.96</v>
      </c>
      <c r="M203" s="242">
        <v>835.2</v>
      </c>
      <c r="N203" s="242">
        <v>1773.9</v>
      </c>
      <c r="O203" s="242">
        <v>14264.78</v>
      </c>
    </row>
    <row r="204" spans="1:15" x14ac:dyDescent="0.25">
      <c r="A204" s="241" t="s">
        <v>753</v>
      </c>
      <c r="B204" s="241" t="s">
        <v>581</v>
      </c>
      <c r="C204" s="242">
        <v>12979.16</v>
      </c>
      <c r="D204" s="242">
        <v>14924.32</v>
      </c>
      <c r="E204" s="242">
        <v>11308.42</v>
      </c>
      <c r="F204" s="242">
        <v>16427.16</v>
      </c>
      <c r="G204" s="242">
        <v>23762.959999999999</v>
      </c>
      <c r="H204" s="242">
        <v>16164.72</v>
      </c>
      <c r="I204" s="242">
        <v>22739.7</v>
      </c>
      <c r="J204" s="242">
        <v>13891.68</v>
      </c>
      <c r="K204" s="242">
        <v>22884.02</v>
      </c>
      <c r="L204" s="242">
        <v>16999.400000000001</v>
      </c>
      <c r="M204" s="242">
        <v>11699.38</v>
      </c>
      <c r="N204" s="242">
        <v>15480.6</v>
      </c>
      <c r="O204" s="242">
        <v>199261.52</v>
      </c>
    </row>
    <row r="205" spans="1:15" x14ac:dyDescent="0.25">
      <c r="A205" s="241" t="s">
        <v>754</v>
      </c>
      <c r="B205" s="241" t="s">
        <v>585</v>
      </c>
      <c r="C205" s="242">
        <v>278745.78000000003</v>
      </c>
      <c r="D205" s="242">
        <v>326244.74</v>
      </c>
      <c r="E205" s="242">
        <v>288445.64</v>
      </c>
      <c r="F205" s="242">
        <v>330028.96000000002</v>
      </c>
      <c r="G205" s="242">
        <v>133413.13</v>
      </c>
      <c r="H205" s="242">
        <v>433563.12</v>
      </c>
      <c r="I205" s="242">
        <v>495292.36</v>
      </c>
      <c r="J205" s="242">
        <v>332031.78000000003</v>
      </c>
      <c r="K205" s="242">
        <v>349736.8</v>
      </c>
      <c r="L205" s="242">
        <v>425432.46</v>
      </c>
      <c r="M205" s="242">
        <v>321630.24</v>
      </c>
      <c r="N205" s="242">
        <v>353283.04</v>
      </c>
      <c r="O205" s="242">
        <v>4067848.05</v>
      </c>
    </row>
    <row r="206" spans="1:15" x14ac:dyDescent="0.25">
      <c r="A206" s="241" t="s">
        <v>755</v>
      </c>
      <c r="B206" s="241" t="s">
        <v>587</v>
      </c>
      <c r="C206" s="242">
        <v>147161.1</v>
      </c>
      <c r="D206" s="242">
        <v>130595.98</v>
      </c>
      <c r="E206" s="242">
        <v>130211.6</v>
      </c>
      <c r="F206" s="242">
        <v>129949.4</v>
      </c>
      <c r="G206" s="242">
        <v>128561.01</v>
      </c>
      <c r="H206" s="242">
        <v>191857.79</v>
      </c>
      <c r="I206" s="242">
        <v>220929.98</v>
      </c>
      <c r="J206" s="242">
        <v>169781.21</v>
      </c>
      <c r="K206" s="242">
        <v>165896.75</v>
      </c>
      <c r="L206" s="242">
        <v>204972.95</v>
      </c>
      <c r="M206" s="242">
        <v>137955.9</v>
      </c>
      <c r="N206" s="242">
        <v>154908.75</v>
      </c>
      <c r="O206" s="242">
        <v>1912782.42</v>
      </c>
    </row>
    <row r="207" spans="1:15" x14ac:dyDescent="0.25">
      <c r="A207" s="241" t="s">
        <v>756</v>
      </c>
      <c r="B207" s="241" t="s">
        <v>589</v>
      </c>
      <c r="C207" s="242">
        <v>277612.74</v>
      </c>
      <c r="D207" s="242">
        <v>324587.8</v>
      </c>
      <c r="E207" s="242">
        <v>275119.48</v>
      </c>
      <c r="F207" s="242">
        <v>333806.68</v>
      </c>
      <c r="G207" s="242">
        <v>102641.94</v>
      </c>
      <c r="H207" s="242">
        <v>411627.54</v>
      </c>
      <c r="I207" s="242">
        <v>483178.94</v>
      </c>
      <c r="J207" s="242">
        <v>342823.66</v>
      </c>
      <c r="K207" s="242">
        <v>349579.12</v>
      </c>
      <c r="L207" s="242">
        <v>432406.58</v>
      </c>
      <c r="M207" s="242">
        <v>334589.74</v>
      </c>
      <c r="N207" s="242">
        <v>347785.5</v>
      </c>
      <c r="O207" s="242">
        <v>4015759.72</v>
      </c>
    </row>
    <row r="208" spans="1:15" x14ac:dyDescent="0.25">
      <c r="A208" s="241" t="s">
        <v>757</v>
      </c>
      <c r="B208" s="241" t="s">
        <v>591</v>
      </c>
      <c r="C208" s="242">
        <v>13543.84</v>
      </c>
      <c r="D208" s="242">
        <v>19745.32</v>
      </c>
      <c r="E208" s="242">
        <v>15391.22</v>
      </c>
      <c r="F208" s="242">
        <v>10458.06</v>
      </c>
      <c r="G208" s="242">
        <v>14082.78</v>
      </c>
      <c r="H208" s="242">
        <v>14181.16</v>
      </c>
      <c r="I208" s="242">
        <v>15796.4</v>
      </c>
      <c r="J208" s="242">
        <v>17978.68</v>
      </c>
      <c r="K208" s="242">
        <v>27817.56</v>
      </c>
      <c r="L208" s="242">
        <v>17698.419999999998</v>
      </c>
      <c r="M208" s="242">
        <v>11844</v>
      </c>
      <c r="N208" s="242">
        <v>16535.400000000001</v>
      </c>
      <c r="O208" s="242">
        <v>195072.84</v>
      </c>
    </row>
    <row r="209" spans="1:15" x14ac:dyDescent="0.25">
      <c r="A209" s="241" t="s">
        <v>758</v>
      </c>
      <c r="B209" s="241" t="s">
        <v>592</v>
      </c>
      <c r="C209" s="242">
        <v>372</v>
      </c>
      <c r="D209" s="242">
        <v>243</v>
      </c>
      <c r="E209" s="243"/>
      <c r="F209" s="242">
        <v>-122.8</v>
      </c>
      <c r="G209" s="242">
        <v>-492.2</v>
      </c>
      <c r="H209" s="242">
        <v>492.2</v>
      </c>
      <c r="I209" s="243"/>
      <c r="J209" s="243"/>
      <c r="K209" s="243"/>
      <c r="L209" s="243"/>
      <c r="M209" s="243"/>
      <c r="N209" s="243"/>
      <c r="O209" s="242">
        <v>492.2</v>
      </c>
    </row>
    <row r="210" spans="1:15" x14ac:dyDescent="0.25">
      <c r="A210" s="241" t="s">
        <v>759</v>
      </c>
      <c r="B210" s="241" t="s">
        <v>596</v>
      </c>
      <c r="C210" s="242">
        <v>4693.79</v>
      </c>
      <c r="D210" s="242">
        <v>4795.2700000000004</v>
      </c>
      <c r="E210" s="242">
        <v>4181.8</v>
      </c>
      <c r="F210" s="242">
        <v>6033.64</v>
      </c>
      <c r="G210" s="242">
        <v>7454.01</v>
      </c>
      <c r="H210" s="242">
        <v>5104.8900000000003</v>
      </c>
      <c r="I210" s="242">
        <v>3875</v>
      </c>
      <c r="J210" s="242">
        <v>745.06</v>
      </c>
      <c r="K210" s="242">
        <v>5422.89</v>
      </c>
      <c r="L210" s="242">
        <v>4174.7700000000004</v>
      </c>
      <c r="M210" s="242">
        <v>3182.65</v>
      </c>
      <c r="N210" s="242">
        <v>4955.71</v>
      </c>
      <c r="O210" s="242">
        <v>54619.48</v>
      </c>
    </row>
    <row r="211" spans="1:15" x14ac:dyDescent="0.25">
      <c r="A211" s="241" t="s">
        <v>760</v>
      </c>
      <c r="B211" s="241" t="s">
        <v>599</v>
      </c>
      <c r="C211" s="242">
        <v>4135.66</v>
      </c>
      <c r="D211" s="242">
        <v>10509.42</v>
      </c>
      <c r="E211" s="242">
        <v>6702.62</v>
      </c>
      <c r="F211" s="242">
        <v>5166.42</v>
      </c>
      <c r="G211" s="242">
        <v>11764.64</v>
      </c>
      <c r="H211" s="242">
        <v>10558.18</v>
      </c>
      <c r="I211" s="242">
        <v>12978.08</v>
      </c>
      <c r="J211" s="242">
        <v>10081.36</v>
      </c>
      <c r="K211" s="242">
        <v>9002.06</v>
      </c>
      <c r="L211" s="242">
        <v>11643.64</v>
      </c>
      <c r="M211" s="242">
        <v>3587.4</v>
      </c>
      <c r="N211" s="242">
        <v>8678.18</v>
      </c>
      <c r="O211" s="242">
        <v>104807.66</v>
      </c>
    </row>
    <row r="212" spans="1:15" x14ac:dyDescent="0.25">
      <c r="A212" s="241" t="s">
        <v>761</v>
      </c>
      <c r="B212" s="241" t="s">
        <v>601</v>
      </c>
      <c r="C212" s="242">
        <v>585397.9</v>
      </c>
      <c r="D212" s="242">
        <v>693055.97</v>
      </c>
      <c r="E212" s="242">
        <v>524172.09</v>
      </c>
      <c r="F212" s="242">
        <v>880939.73</v>
      </c>
      <c r="G212" s="242">
        <v>937759.92</v>
      </c>
      <c r="H212" s="242">
        <v>799102.87</v>
      </c>
      <c r="I212" s="242">
        <v>707306.4</v>
      </c>
      <c r="J212" s="242">
        <v>97790.18</v>
      </c>
      <c r="K212" s="242">
        <v>585250.6</v>
      </c>
      <c r="L212" s="242">
        <v>704339.11</v>
      </c>
      <c r="M212" s="242">
        <v>540062.31999999995</v>
      </c>
      <c r="N212" s="242">
        <v>583462.77</v>
      </c>
      <c r="O212" s="242">
        <v>7638639.8600000003</v>
      </c>
    </row>
    <row r="213" spans="1:15" x14ac:dyDescent="0.25">
      <c r="A213" s="241" t="s">
        <v>762</v>
      </c>
      <c r="B213" s="241" t="s">
        <v>603</v>
      </c>
      <c r="C213" s="242">
        <v>-170958.54</v>
      </c>
      <c r="D213" s="242">
        <v>-231637.65</v>
      </c>
      <c r="E213" s="242">
        <v>-197420.7</v>
      </c>
      <c r="F213" s="242">
        <v>-255107.05</v>
      </c>
      <c r="G213" s="242">
        <v>-302539.65999999997</v>
      </c>
      <c r="H213" s="242">
        <v>-236042.28</v>
      </c>
      <c r="I213" s="242">
        <v>-254128.41</v>
      </c>
      <c r="J213" s="242">
        <v>-160712.39000000001</v>
      </c>
      <c r="K213" s="242">
        <v>-263248.21999999997</v>
      </c>
      <c r="L213" s="242">
        <v>-273126.39</v>
      </c>
      <c r="M213" s="242">
        <v>-166944.49</v>
      </c>
      <c r="N213" s="242">
        <v>-196029.62</v>
      </c>
      <c r="O213" s="242">
        <v>-2707895.4</v>
      </c>
    </row>
    <row r="214" spans="1:15" x14ac:dyDescent="0.25">
      <c r="A214" s="241" t="s">
        <v>763</v>
      </c>
      <c r="B214" s="241" t="s">
        <v>623</v>
      </c>
      <c r="C214" s="242">
        <v>-703519.62</v>
      </c>
      <c r="D214" s="242">
        <v>-781428.52</v>
      </c>
      <c r="E214" s="242">
        <v>-693776.72</v>
      </c>
      <c r="F214" s="242">
        <v>-793785.04</v>
      </c>
      <c r="G214" s="242">
        <v>-365059.15</v>
      </c>
      <c r="H214" s="242">
        <v>-1037048.45</v>
      </c>
      <c r="I214" s="242">
        <v>-1199401.28</v>
      </c>
      <c r="J214" s="242">
        <v>-844636.65</v>
      </c>
      <c r="K214" s="242">
        <v>-865212.67</v>
      </c>
      <c r="L214" s="242">
        <v>-1062811.99</v>
      </c>
      <c r="M214" s="242">
        <v>-794175.88</v>
      </c>
      <c r="N214" s="242">
        <v>-855977.29</v>
      </c>
      <c r="O214" s="242">
        <v>-9996833.2599999998</v>
      </c>
    </row>
    <row r="215" spans="1:15" x14ac:dyDescent="0.25">
      <c r="A215" s="241" t="s">
        <v>1413</v>
      </c>
      <c r="B215" s="241" t="s">
        <v>625</v>
      </c>
      <c r="C215" s="242">
        <v>-362.1</v>
      </c>
      <c r="D215" s="242">
        <v>755.61</v>
      </c>
      <c r="E215" s="243"/>
      <c r="F215" s="243"/>
      <c r="G215" s="243"/>
      <c r="H215" s="243"/>
      <c r="I215" s="242">
        <v>-21412.48</v>
      </c>
      <c r="J215" s="243"/>
      <c r="K215" s="243"/>
      <c r="L215" s="243"/>
      <c r="M215" s="243"/>
      <c r="N215" s="243"/>
      <c r="O215" s="242">
        <v>-21018.97</v>
      </c>
    </row>
    <row r="216" spans="1:15" x14ac:dyDescent="0.25">
      <c r="A216" s="241" t="s">
        <v>764</v>
      </c>
      <c r="B216" s="241" t="s">
        <v>627</v>
      </c>
      <c r="C216" s="242">
        <v>20726.88</v>
      </c>
      <c r="D216" s="242">
        <v>-2432.9699999999998</v>
      </c>
      <c r="E216" s="242">
        <v>9408.5</v>
      </c>
      <c r="F216" s="242">
        <v>-3920.64</v>
      </c>
      <c r="G216" s="242">
        <v>-39922.339999999997</v>
      </c>
      <c r="H216" s="242">
        <v>-33390.769999999997</v>
      </c>
      <c r="I216" s="242">
        <v>-31478.76</v>
      </c>
      <c r="J216" s="242">
        <v>-23210.44</v>
      </c>
      <c r="K216" s="242">
        <v>-24052.23</v>
      </c>
      <c r="L216" s="242">
        <v>-28498.35</v>
      </c>
      <c r="M216" s="242">
        <v>-23285.17</v>
      </c>
      <c r="N216" s="242">
        <v>-14887.08</v>
      </c>
      <c r="O216" s="242">
        <v>-194943.37</v>
      </c>
    </row>
    <row r="217" spans="1:15" x14ac:dyDescent="0.25">
      <c r="A217" s="241" t="s">
        <v>1491</v>
      </c>
      <c r="B217" s="241" t="s">
        <v>1390</v>
      </c>
      <c r="C217" s="243"/>
      <c r="D217" s="242">
        <v>-1185.28</v>
      </c>
      <c r="E217" s="243"/>
      <c r="F217" s="242">
        <v>-48.07</v>
      </c>
      <c r="G217" s="242">
        <v>-14190.81</v>
      </c>
      <c r="H217" s="243"/>
      <c r="I217" s="243"/>
      <c r="J217" s="243"/>
      <c r="K217" s="242">
        <v>-3331.75</v>
      </c>
      <c r="L217" s="243"/>
      <c r="M217" s="242">
        <v>-751.14</v>
      </c>
      <c r="N217" s="243"/>
      <c r="O217" s="242">
        <v>-19507.05</v>
      </c>
    </row>
    <row r="218" spans="1:15" x14ac:dyDescent="0.25">
      <c r="A218" s="241" t="s">
        <v>765</v>
      </c>
      <c r="B218" s="241" t="s">
        <v>605</v>
      </c>
      <c r="C218" s="244">
        <v>2153.6799999999998</v>
      </c>
      <c r="D218" s="244">
        <v>-8126.29</v>
      </c>
      <c r="E218" s="244">
        <v>-41589.81</v>
      </c>
      <c r="F218" s="244">
        <v>-224901.01</v>
      </c>
      <c r="G218" s="244">
        <v>-50609.39</v>
      </c>
      <c r="H218" s="244">
        <v>-31895.49</v>
      </c>
      <c r="I218" s="244">
        <v>-753.6</v>
      </c>
      <c r="J218" s="244">
        <v>154601.47</v>
      </c>
      <c r="K218" s="244">
        <v>-7695.44</v>
      </c>
      <c r="L218" s="244">
        <v>-26107.05</v>
      </c>
      <c r="M218" s="244">
        <v>-37836.910000000003</v>
      </c>
      <c r="N218" s="244">
        <v>-28379.08</v>
      </c>
      <c r="O218" s="244">
        <v>-301138.92</v>
      </c>
    </row>
    <row r="219" spans="1:15" x14ac:dyDescent="0.25">
      <c r="A219" s="239"/>
      <c r="B219" s="239" t="s">
        <v>766</v>
      </c>
      <c r="C219" s="245">
        <v>1215041.8400000001</v>
      </c>
      <c r="D219" s="245">
        <v>1417019.45</v>
      </c>
      <c r="E219" s="245">
        <v>1202482.99</v>
      </c>
      <c r="F219" s="245">
        <v>1510929.21</v>
      </c>
      <c r="G219" s="245">
        <v>1963243.37</v>
      </c>
      <c r="H219" s="245">
        <v>1682246.44</v>
      </c>
      <c r="I219" s="245">
        <v>1639242.16</v>
      </c>
      <c r="J219" s="245">
        <v>678668.32</v>
      </c>
      <c r="K219" s="245">
        <v>1349185.47</v>
      </c>
      <c r="L219" s="245">
        <v>1570736.46</v>
      </c>
      <c r="M219" s="245">
        <v>1165640.3899999999</v>
      </c>
      <c r="N219" s="245">
        <v>1280130.51</v>
      </c>
      <c r="O219" s="245">
        <v>16674566.609999999</v>
      </c>
    </row>
    <row r="220" spans="1:15" x14ac:dyDescent="0.25">
      <c r="A220" s="235"/>
      <c r="B220" s="235"/>
      <c r="C220" s="236"/>
      <c r="D220" s="236"/>
      <c r="E220" s="236"/>
      <c r="F220" s="236"/>
      <c r="G220" s="236"/>
      <c r="H220" s="236"/>
      <c r="I220" s="236"/>
      <c r="J220" s="236"/>
      <c r="K220" s="236"/>
      <c r="L220" s="236"/>
      <c r="M220" s="236"/>
      <c r="N220" s="236"/>
      <c r="O220" s="236"/>
    </row>
    <row r="221" spans="1:15" x14ac:dyDescent="0.25">
      <c r="A221" s="239"/>
      <c r="B221" s="239" t="s">
        <v>767</v>
      </c>
      <c r="C221" s="240"/>
      <c r="D221" s="240"/>
      <c r="E221" s="240"/>
      <c r="F221" s="240"/>
      <c r="G221" s="240"/>
      <c r="H221" s="240"/>
      <c r="I221" s="240"/>
      <c r="J221" s="240"/>
      <c r="K221" s="240"/>
      <c r="L221" s="240"/>
      <c r="M221" s="240"/>
      <c r="N221" s="240"/>
      <c r="O221" s="240"/>
    </row>
    <row r="222" spans="1:15" x14ac:dyDescent="0.25">
      <c r="A222" s="241" t="s">
        <v>768</v>
      </c>
      <c r="B222" s="241" t="s">
        <v>573</v>
      </c>
      <c r="C222" s="242">
        <v>49689</v>
      </c>
      <c r="D222" s="242">
        <v>24319</v>
      </c>
      <c r="E222" s="242">
        <v>34984.080000000002</v>
      </c>
      <c r="F222" s="242">
        <v>24653.72</v>
      </c>
      <c r="G222" s="242">
        <v>37168</v>
      </c>
      <c r="H222" s="242">
        <v>25586</v>
      </c>
      <c r="I222" s="242">
        <v>33902</v>
      </c>
      <c r="J222" s="242">
        <v>21247</v>
      </c>
      <c r="K222" s="242">
        <v>33557</v>
      </c>
      <c r="L222" s="242">
        <v>60058.559999999998</v>
      </c>
      <c r="M222" s="242">
        <v>51472.480000000003</v>
      </c>
      <c r="N222" s="242">
        <v>63831.92</v>
      </c>
      <c r="O222" s="242">
        <v>460468.76</v>
      </c>
    </row>
    <row r="223" spans="1:15" x14ac:dyDescent="0.25">
      <c r="A223" s="241" t="s">
        <v>1367</v>
      </c>
      <c r="B223" s="241" t="s">
        <v>575</v>
      </c>
      <c r="C223" s="242">
        <v>445.68</v>
      </c>
      <c r="D223" s="242">
        <v>30.96</v>
      </c>
      <c r="E223" s="243"/>
      <c r="F223" s="243"/>
      <c r="G223" s="243"/>
      <c r="H223" s="243"/>
      <c r="I223" s="243"/>
      <c r="J223" s="243"/>
      <c r="K223" s="242">
        <v>59.9</v>
      </c>
      <c r="L223" s="242">
        <v>-39.18</v>
      </c>
      <c r="M223" s="242">
        <v>80.62</v>
      </c>
      <c r="N223" s="242">
        <v>458.56</v>
      </c>
      <c r="O223" s="242">
        <v>1036.54</v>
      </c>
    </row>
    <row r="224" spans="1:15" x14ac:dyDescent="0.25">
      <c r="A224" s="241" t="s">
        <v>769</v>
      </c>
      <c r="B224" s="241" t="s">
        <v>577</v>
      </c>
      <c r="C224" s="242">
        <v>9117.56</v>
      </c>
      <c r="D224" s="242">
        <v>8973.68</v>
      </c>
      <c r="E224" s="242">
        <v>5671.54</v>
      </c>
      <c r="F224" s="242">
        <v>14054.38</v>
      </c>
      <c r="G224" s="242">
        <v>16400.599999999999</v>
      </c>
      <c r="H224" s="242">
        <v>4624.04</v>
      </c>
      <c r="I224" s="242">
        <v>9728.5499999999993</v>
      </c>
      <c r="J224" s="242">
        <v>6376.7</v>
      </c>
      <c r="K224" s="242">
        <v>6326.53</v>
      </c>
      <c r="L224" s="242">
        <v>3918.22</v>
      </c>
      <c r="M224" s="242">
        <v>8338.56</v>
      </c>
      <c r="N224" s="242">
        <v>12469.61</v>
      </c>
      <c r="O224" s="242">
        <v>105999.97</v>
      </c>
    </row>
    <row r="225" spans="1:15" x14ac:dyDescent="0.25">
      <c r="A225" s="241" t="s">
        <v>770</v>
      </c>
      <c r="B225" s="241" t="s">
        <v>579</v>
      </c>
      <c r="C225" s="242">
        <v>787.5</v>
      </c>
      <c r="D225" s="242">
        <v>878.2</v>
      </c>
      <c r="E225" s="242">
        <v>624.20000000000005</v>
      </c>
      <c r="F225" s="242">
        <v>642</v>
      </c>
      <c r="G225" s="242">
        <v>762</v>
      </c>
      <c r="H225" s="242">
        <v>902</v>
      </c>
      <c r="I225" s="242">
        <v>644</v>
      </c>
      <c r="J225" s="242">
        <v>921.5</v>
      </c>
      <c r="K225" s="242">
        <v>1202.0999999999999</v>
      </c>
      <c r="L225" s="242">
        <v>783.6</v>
      </c>
      <c r="M225" s="242">
        <v>869.8</v>
      </c>
      <c r="N225" s="242">
        <v>47.1</v>
      </c>
      <c r="O225" s="242">
        <v>9064</v>
      </c>
    </row>
    <row r="226" spans="1:15" x14ac:dyDescent="0.25">
      <c r="A226" s="241" t="s">
        <v>771</v>
      </c>
      <c r="B226" s="241" t="s">
        <v>581</v>
      </c>
      <c r="C226" s="242">
        <v>332.5</v>
      </c>
      <c r="D226" s="242">
        <v>454.42</v>
      </c>
      <c r="E226" s="242">
        <v>575.08000000000004</v>
      </c>
      <c r="F226" s="242">
        <v>170.8</v>
      </c>
      <c r="G226" s="242">
        <v>406.3</v>
      </c>
      <c r="H226" s="242">
        <v>278</v>
      </c>
      <c r="I226" s="242">
        <v>98.28</v>
      </c>
      <c r="J226" s="242">
        <v>182.96</v>
      </c>
      <c r="K226" s="242">
        <v>289.72000000000003</v>
      </c>
      <c r="L226" s="242">
        <v>-147.84</v>
      </c>
      <c r="M226" s="242">
        <v>406.22</v>
      </c>
      <c r="N226" s="242">
        <v>337.54</v>
      </c>
      <c r="O226" s="242">
        <v>3383.98</v>
      </c>
    </row>
    <row r="227" spans="1:15" x14ac:dyDescent="0.25">
      <c r="A227" s="241" t="s">
        <v>772</v>
      </c>
      <c r="B227" s="241" t="s">
        <v>585</v>
      </c>
      <c r="C227" s="242">
        <v>29320.74</v>
      </c>
      <c r="D227" s="242">
        <v>22733.5</v>
      </c>
      <c r="E227" s="242">
        <v>26448.799999999999</v>
      </c>
      <c r="F227" s="242">
        <v>2185</v>
      </c>
      <c r="G227" s="242">
        <v>18768.22</v>
      </c>
      <c r="H227" s="242">
        <v>8762.76</v>
      </c>
      <c r="I227" s="242">
        <v>6046.26</v>
      </c>
      <c r="J227" s="242">
        <v>9777.7999999999993</v>
      </c>
      <c r="K227" s="242">
        <v>11245.48</v>
      </c>
      <c r="L227" s="242">
        <v>8600.52</v>
      </c>
      <c r="M227" s="242">
        <v>15965.94</v>
      </c>
      <c r="N227" s="242">
        <v>13147.36</v>
      </c>
      <c r="O227" s="242">
        <v>173002.38</v>
      </c>
    </row>
    <row r="228" spans="1:15" x14ac:dyDescent="0.25">
      <c r="A228" s="241" t="s">
        <v>773</v>
      </c>
      <c r="B228" s="241" t="s">
        <v>587</v>
      </c>
      <c r="C228" s="242">
        <v>13382.3</v>
      </c>
      <c r="D228" s="242">
        <v>5260.8</v>
      </c>
      <c r="E228" s="242">
        <v>10022.98</v>
      </c>
      <c r="F228" s="242">
        <v>284.06</v>
      </c>
      <c r="G228" s="242">
        <v>9466.7199999999993</v>
      </c>
      <c r="H228" s="242">
        <v>4820.5</v>
      </c>
      <c r="I228" s="242">
        <v>1034.9000000000001</v>
      </c>
      <c r="J228" s="242">
        <v>10178.700000000001</v>
      </c>
      <c r="K228" s="242">
        <v>3267.82</v>
      </c>
      <c r="L228" s="242">
        <v>9903.24</v>
      </c>
      <c r="M228" s="242">
        <v>8651.16</v>
      </c>
      <c r="N228" s="242">
        <v>5479.84</v>
      </c>
      <c r="O228" s="242">
        <v>81753.02</v>
      </c>
    </row>
    <row r="229" spans="1:15" x14ac:dyDescent="0.25">
      <c r="A229" s="241" t="s">
        <v>774</v>
      </c>
      <c r="B229" s="241" t="s">
        <v>589</v>
      </c>
      <c r="C229" s="242">
        <v>24786.62</v>
      </c>
      <c r="D229" s="242">
        <v>26156.94</v>
      </c>
      <c r="E229" s="242">
        <v>24446.38</v>
      </c>
      <c r="F229" s="242">
        <v>2358.98</v>
      </c>
      <c r="G229" s="242">
        <v>19602.18</v>
      </c>
      <c r="H229" s="242">
        <v>8269.7000000000007</v>
      </c>
      <c r="I229" s="242">
        <v>7801.8</v>
      </c>
      <c r="J229" s="242">
        <v>14391.84</v>
      </c>
      <c r="K229" s="242">
        <v>12070.86</v>
      </c>
      <c r="L229" s="242">
        <v>13179.64</v>
      </c>
      <c r="M229" s="242">
        <v>17223.48</v>
      </c>
      <c r="N229" s="242">
        <v>15395.76</v>
      </c>
      <c r="O229" s="242">
        <v>185684.18</v>
      </c>
    </row>
    <row r="230" spans="1:15" x14ac:dyDescent="0.25">
      <c r="A230" s="241" t="s">
        <v>775</v>
      </c>
      <c r="B230" s="241" t="s">
        <v>591</v>
      </c>
      <c r="C230" s="242">
        <v>3274.8</v>
      </c>
      <c r="D230" s="242">
        <v>3891</v>
      </c>
      <c r="E230" s="242">
        <v>4547.2</v>
      </c>
      <c r="F230" s="242">
        <v>1924.2</v>
      </c>
      <c r="G230" s="242">
        <v>1691.3</v>
      </c>
      <c r="H230" s="242">
        <v>1162</v>
      </c>
      <c r="I230" s="242">
        <v>1166.9000000000001</v>
      </c>
      <c r="J230" s="242">
        <v>1099.2</v>
      </c>
      <c r="K230" s="242">
        <v>2168</v>
      </c>
      <c r="L230" s="242">
        <v>-434.6</v>
      </c>
      <c r="M230" s="242">
        <v>1367.6</v>
      </c>
      <c r="N230" s="242">
        <v>1784</v>
      </c>
      <c r="O230" s="242">
        <v>23641.599999999999</v>
      </c>
    </row>
    <row r="231" spans="1:15" x14ac:dyDescent="0.25">
      <c r="A231" s="241" t="s">
        <v>776</v>
      </c>
      <c r="B231" s="241" t="s">
        <v>596</v>
      </c>
      <c r="C231" s="242">
        <v>158.47999999999999</v>
      </c>
      <c r="D231" s="242">
        <v>-42.2</v>
      </c>
      <c r="E231" s="242">
        <v>32.5</v>
      </c>
      <c r="F231" s="242">
        <v>16.489999999999998</v>
      </c>
      <c r="G231" s="242">
        <v>-4.82</v>
      </c>
      <c r="H231" s="242">
        <v>11.17</v>
      </c>
      <c r="I231" s="242">
        <v>175.4</v>
      </c>
      <c r="J231" s="242">
        <v>76.41</v>
      </c>
      <c r="K231" s="242">
        <v>90.76</v>
      </c>
      <c r="L231" s="242">
        <v>-26.75</v>
      </c>
      <c r="M231" s="242">
        <v>0.56999999999999995</v>
      </c>
      <c r="N231" s="242">
        <v>121.75</v>
      </c>
      <c r="O231" s="242">
        <v>609.76</v>
      </c>
    </row>
    <row r="232" spans="1:15" x14ac:dyDescent="0.25">
      <c r="A232" s="241" t="s">
        <v>777</v>
      </c>
      <c r="B232" s="241" t="s">
        <v>599</v>
      </c>
      <c r="C232" s="242">
        <v>1371.92</v>
      </c>
      <c r="D232" s="243"/>
      <c r="E232" s="243"/>
      <c r="F232" s="242">
        <v>15.92</v>
      </c>
      <c r="G232" s="242">
        <v>775.7</v>
      </c>
      <c r="H232" s="242">
        <v>802.36</v>
      </c>
      <c r="I232" s="242">
        <v>907.32</v>
      </c>
      <c r="J232" s="243"/>
      <c r="K232" s="243"/>
      <c r="L232" s="243"/>
      <c r="M232" s="242">
        <v>616.66</v>
      </c>
      <c r="N232" s="242">
        <v>319.45999999999998</v>
      </c>
      <c r="O232" s="242">
        <v>4809.34</v>
      </c>
    </row>
    <row r="233" spans="1:15" x14ac:dyDescent="0.25">
      <c r="A233" s="241" t="s">
        <v>778</v>
      </c>
      <c r="B233" s="241" t="s">
        <v>601</v>
      </c>
      <c r="C233" s="242">
        <v>-2701.4</v>
      </c>
      <c r="D233" s="242">
        <v>-4811.97</v>
      </c>
      <c r="E233" s="242">
        <v>-3850.94</v>
      </c>
      <c r="F233" s="242">
        <v>-4323.7700000000004</v>
      </c>
      <c r="G233" s="242">
        <v>-4921.8500000000004</v>
      </c>
      <c r="H233" s="242">
        <v>-3198.89</v>
      </c>
      <c r="I233" s="242">
        <v>-2009.46</v>
      </c>
      <c r="J233" s="242">
        <v>-2641.5</v>
      </c>
      <c r="K233" s="242">
        <v>-1983.7</v>
      </c>
      <c r="L233" s="242">
        <v>-20449.509999999998</v>
      </c>
      <c r="M233" s="242">
        <v>1918.64</v>
      </c>
      <c r="N233" s="242">
        <v>-3409</v>
      </c>
      <c r="O233" s="242">
        <v>-52383.35</v>
      </c>
    </row>
    <row r="234" spans="1:15" x14ac:dyDescent="0.25">
      <c r="A234" s="241" t="s">
        <v>779</v>
      </c>
      <c r="B234" s="241" t="s">
        <v>603</v>
      </c>
      <c r="C234" s="242">
        <v>-15488.44</v>
      </c>
      <c r="D234" s="242">
        <v>-14186.06</v>
      </c>
      <c r="E234" s="242">
        <v>-11450.52</v>
      </c>
      <c r="F234" s="242">
        <v>-16823.79</v>
      </c>
      <c r="G234" s="242">
        <v>-20031.080000000002</v>
      </c>
      <c r="H234" s="242">
        <v>-7779.57</v>
      </c>
      <c r="I234" s="242">
        <v>-12720.45</v>
      </c>
      <c r="J234" s="242">
        <v>-8656.77</v>
      </c>
      <c r="K234" s="242">
        <v>-10137.01</v>
      </c>
      <c r="L234" s="242">
        <v>-4053.45</v>
      </c>
      <c r="M234" s="242">
        <v>-12300.03</v>
      </c>
      <c r="N234" s="242">
        <v>-15538.02</v>
      </c>
      <c r="O234" s="242">
        <v>-149165.19</v>
      </c>
    </row>
    <row r="235" spans="1:15" x14ac:dyDescent="0.25">
      <c r="A235" s="241" t="s">
        <v>780</v>
      </c>
      <c r="B235" s="241" t="s">
        <v>623</v>
      </c>
      <c r="C235" s="242">
        <v>-67489.66</v>
      </c>
      <c r="D235" s="242">
        <v>-54151.24</v>
      </c>
      <c r="E235" s="242">
        <v>-60918.16</v>
      </c>
      <c r="F235" s="242">
        <v>-4828.04</v>
      </c>
      <c r="G235" s="242">
        <v>-47837.120000000003</v>
      </c>
      <c r="H235" s="242">
        <v>-21852.959999999999</v>
      </c>
      <c r="I235" s="242">
        <v>-14882.96</v>
      </c>
      <c r="J235" s="242">
        <v>-34348.339999999997</v>
      </c>
      <c r="K235" s="242">
        <v>-26584.16</v>
      </c>
      <c r="L235" s="242">
        <v>-31813.96</v>
      </c>
      <c r="M235" s="242">
        <v>-41840.58</v>
      </c>
      <c r="N235" s="242">
        <v>-34022.959999999999</v>
      </c>
      <c r="O235" s="242">
        <v>-440570.14</v>
      </c>
    </row>
    <row r="236" spans="1:15" x14ac:dyDescent="0.25">
      <c r="A236" s="241" t="s">
        <v>781</v>
      </c>
      <c r="B236" s="241" t="s">
        <v>605</v>
      </c>
      <c r="C236" s="244">
        <v>-2314</v>
      </c>
      <c r="D236" s="244">
        <v>-5750.3</v>
      </c>
      <c r="E236" s="244">
        <v>3.75</v>
      </c>
      <c r="F236" s="246"/>
      <c r="G236" s="244">
        <v>120.26</v>
      </c>
      <c r="H236" s="246"/>
      <c r="I236" s="244">
        <v>-63.47</v>
      </c>
      <c r="J236" s="244">
        <v>575.30999999999995</v>
      </c>
      <c r="K236" s="244">
        <v>-667</v>
      </c>
      <c r="L236" s="246"/>
      <c r="M236" s="246"/>
      <c r="N236" s="244">
        <v>626.66999999999996</v>
      </c>
      <c r="O236" s="244">
        <v>-7468.78</v>
      </c>
    </row>
    <row r="237" spans="1:15" x14ac:dyDescent="0.25">
      <c r="A237" s="239"/>
      <c r="B237" s="239" t="s">
        <v>782</v>
      </c>
      <c r="C237" s="245">
        <v>44673.599999999999</v>
      </c>
      <c r="D237" s="245">
        <v>13756.73</v>
      </c>
      <c r="E237" s="245">
        <v>31136.89</v>
      </c>
      <c r="F237" s="245">
        <v>20329.95</v>
      </c>
      <c r="G237" s="245">
        <v>32366.41</v>
      </c>
      <c r="H237" s="245">
        <v>22387.11</v>
      </c>
      <c r="I237" s="245">
        <v>31829.07</v>
      </c>
      <c r="J237" s="245">
        <v>19180.810000000001</v>
      </c>
      <c r="K237" s="245">
        <v>30906.3</v>
      </c>
      <c r="L237" s="245">
        <v>39478.49</v>
      </c>
      <c r="M237" s="245">
        <v>52771.12</v>
      </c>
      <c r="N237" s="245">
        <v>61049.59</v>
      </c>
      <c r="O237" s="245">
        <v>399866.07</v>
      </c>
    </row>
    <row r="238" spans="1:15" x14ac:dyDescent="0.25">
      <c r="A238" s="235"/>
      <c r="B238" s="235"/>
      <c r="C238" s="236"/>
      <c r="D238" s="236"/>
      <c r="E238" s="236"/>
      <c r="F238" s="236"/>
      <c r="G238" s="236"/>
      <c r="H238" s="236"/>
      <c r="I238" s="236"/>
      <c r="J238" s="236"/>
      <c r="K238" s="236"/>
      <c r="L238" s="236"/>
      <c r="M238" s="236"/>
      <c r="N238" s="236"/>
      <c r="O238" s="236"/>
    </row>
    <row r="239" spans="1:15" x14ac:dyDescent="0.25">
      <c r="A239" s="239"/>
      <c r="B239" s="239" t="s">
        <v>783</v>
      </c>
      <c r="C239" s="240"/>
      <c r="D239" s="240"/>
      <c r="E239" s="240"/>
      <c r="F239" s="240"/>
      <c r="G239" s="240"/>
      <c r="H239" s="240"/>
      <c r="I239" s="240"/>
      <c r="J239" s="240"/>
      <c r="K239" s="240"/>
      <c r="L239" s="240"/>
      <c r="M239" s="240"/>
      <c r="N239" s="240"/>
      <c r="O239" s="240"/>
    </row>
    <row r="240" spans="1:15" x14ac:dyDescent="0.25">
      <c r="A240" s="241" t="s">
        <v>784</v>
      </c>
      <c r="B240" s="241" t="s">
        <v>573</v>
      </c>
      <c r="C240" s="242">
        <v>202387.6</v>
      </c>
      <c r="D240" s="242">
        <v>237001.13</v>
      </c>
      <c r="E240" s="242">
        <v>180453.43</v>
      </c>
      <c r="F240" s="242">
        <v>186337</v>
      </c>
      <c r="G240" s="242">
        <v>358301</v>
      </c>
      <c r="H240" s="242">
        <v>299520</v>
      </c>
      <c r="I240" s="242">
        <v>340139</v>
      </c>
      <c r="J240" s="242">
        <v>268441</v>
      </c>
      <c r="K240" s="242">
        <v>300913</v>
      </c>
      <c r="L240" s="242">
        <v>225821</v>
      </c>
      <c r="M240" s="242">
        <v>279371</v>
      </c>
      <c r="N240" s="242">
        <v>345549</v>
      </c>
      <c r="O240" s="242">
        <v>3224234.16</v>
      </c>
    </row>
    <row r="241" spans="1:15" x14ac:dyDescent="0.25">
      <c r="A241" s="241" t="s">
        <v>785</v>
      </c>
      <c r="B241" s="241" t="s">
        <v>575</v>
      </c>
      <c r="C241" s="243"/>
      <c r="D241" s="242">
        <v>486</v>
      </c>
      <c r="E241" s="242">
        <v>854</v>
      </c>
      <c r="F241" s="243"/>
      <c r="G241" s="243"/>
      <c r="H241" s="242">
        <v>72.2</v>
      </c>
      <c r="I241" s="242">
        <v>72.2</v>
      </c>
      <c r="J241" s="242">
        <v>1062.2</v>
      </c>
      <c r="K241" s="242">
        <v>1287.2</v>
      </c>
      <c r="L241" s="242">
        <v>706.92</v>
      </c>
      <c r="M241" s="242">
        <v>637.24</v>
      </c>
      <c r="N241" s="242">
        <v>558.48</v>
      </c>
      <c r="O241" s="242">
        <v>5736.44</v>
      </c>
    </row>
    <row r="242" spans="1:15" x14ac:dyDescent="0.25">
      <c r="A242" s="241" t="s">
        <v>786</v>
      </c>
      <c r="B242" s="241" t="s">
        <v>577</v>
      </c>
      <c r="C242" s="242">
        <v>38186.46</v>
      </c>
      <c r="D242" s="242">
        <v>42207.34</v>
      </c>
      <c r="E242" s="242">
        <v>46320.34</v>
      </c>
      <c r="F242" s="242">
        <v>49297.67</v>
      </c>
      <c r="G242" s="242">
        <v>68970.429999999993</v>
      </c>
      <c r="H242" s="242">
        <v>31317.89</v>
      </c>
      <c r="I242" s="242">
        <v>58652.03</v>
      </c>
      <c r="J242" s="242">
        <v>52179.73</v>
      </c>
      <c r="K242" s="242">
        <v>82078.64</v>
      </c>
      <c r="L242" s="242">
        <v>46695.08</v>
      </c>
      <c r="M242" s="242">
        <v>51025.27</v>
      </c>
      <c r="N242" s="242">
        <v>39486.269999999997</v>
      </c>
      <c r="O242" s="242">
        <v>606417.15</v>
      </c>
    </row>
    <row r="243" spans="1:15" x14ac:dyDescent="0.25">
      <c r="A243" s="241" t="s">
        <v>787</v>
      </c>
      <c r="B243" s="241" t="s">
        <v>579</v>
      </c>
      <c r="C243" s="242">
        <v>72.2</v>
      </c>
      <c r="D243" s="242">
        <v>353.76</v>
      </c>
      <c r="E243" s="242">
        <v>191.56</v>
      </c>
      <c r="F243" s="242">
        <v>135</v>
      </c>
      <c r="G243" s="242">
        <v>211.9</v>
      </c>
      <c r="H243" s="242">
        <v>216.6</v>
      </c>
      <c r="I243" s="242">
        <v>284.10000000000002</v>
      </c>
      <c r="J243" s="242">
        <v>716.38</v>
      </c>
      <c r="K243" s="242">
        <v>951.48</v>
      </c>
      <c r="L243" s="242">
        <v>602.6</v>
      </c>
      <c r="M243" s="242">
        <v>607.29999999999995</v>
      </c>
      <c r="N243" s="242">
        <v>802.6</v>
      </c>
      <c r="O243" s="242">
        <v>5145.4799999999996</v>
      </c>
    </row>
    <row r="244" spans="1:15" x14ac:dyDescent="0.25">
      <c r="A244" s="241" t="s">
        <v>788</v>
      </c>
      <c r="B244" s="241" t="s">
        <v>581</v>
      </c>
      <c r="C244" s="242">
        <v>5856.98</v>
      </c>
      <c r="D244" s="242">
        <v>4166.2</v>
      </c>
      <c r="E244" s="242">
        <v>2669.34</v>
      </c>
      <c r="F244" s="242">
        <v>2921.98</v>
      </c>
      <c r="G244" s="242">
        <v>3683.18</v>
      </c>
      <c r="H244" s="242">
        <v>3495.9</v>
      </c>
      <c r="I244" s="242">
        <v>3594.56</v>
      </c>
      <c r="J244" s="242">
        <v>5351.44</v>
      </c>
      <c r="K244" s="242">
        <v>5811.3</v>
      </c>
      <c r="L244" s="242">
        <v>2472.5</v>
      </c>
      <c r="M244" s="242">
        <v>2249.44</v>
      </c>
      <c r="N244" s="242">
        <v>2930.08</v>
      </c>
      <c r="O244" s="242">
        <v>45202.9</v>
      </c>
    </row>
    <row r="245" spans="1:15" x14ac:dyDescent="0.25">
      <c r="A245" s="241" t="s">
        <v>789</v>
      </c>
      <c r="B245" s="241" t="s">
        <v>585</v>
      </c>
      <c r="C245" s="242">
        <v>130274.92</v>
      </c>
      <c r="D245" s="242">
        <v>130086.84</v>
      </c>
      <c r="E245" s="242">
        <v>80044</v>
      </c>
      <c r="F245" s="242">
        <v>87232.6</v>
      </c>
      <c r="G245" s="242">
        <v>93526.58</v>
      </c>
      <c r="H245" s="242">
        <v>94467.92</v>
      </c>
      <c r="I245" s="242">
        <v>123080.56</v>
      </c>
      <c r="J245" s="242">
        <v>116339.68</v>
      </c>
      <c r="K245" s="242">
        <v>125074.1</v>
      </c>
      <c r="L245" s="242">
        <v>100646.68</v>
      </c>
      <c r="M245" s="242">
        <v>118167.76</v>
      </c>
      <c r="N245" s="242">
        <v>117933.18</v>
      </c>
      <c r="O245" s="242">
        <v>1316874.82</v>
      </c>
    </row>
    <row r="246" spans="1:15" x14ac:dyDescent="0.25">
      <c r="A246" s="241" t="s">
        <v>790</v>
      </c>
      <c r="B246" s="241" t="s">
        <v>587</v>
      </c>
      <c r="C246" s="242">
        <v>38200.76</v>
      </c>
      <c r="D246" s="242">
        <v>53086.38</v>
      </c>
      <c r="E246" s="242">
        <v>13949.86</v>
      </c>
      <c r="F246" s="242">
        <v>10227.82</v>
      </c>
      <c r="G246" s="242">
        <v>40129.519999999997</v>
      </c>
      <c r="H246" s="242">
        <v>48951.21</v>
      </c>
      <c r="I246" s="242">
        <v>50029.62</v>
      </c>
      <c r="J246" s="242">
        <v>47705.96</v>
      </c>
      <c r="K246" s="242">
        <v>57379.16</v>
      </c>
      <c r="L246" s="242">
        <v>62821.36</v>
      </c>
      <c r="M246" s="242">
        <v>48219.519999999997</v>
      </c>
      <c r="N246" s="242">
        <v>49427.42</v>
      </c>
      <c r="O246" s="242">
        <v>520128.59</v>
      </c>
    </row>
    <row r="247" spans="1:15" x14ac:dyDescent="0.25">
      <c r="A247" s="241" t="s">
        <v>791</v>
      </c>
      <c r="B247" s="241" t="s">
        <v>589</v>
      </c>
      <c r="C247" s="242">
        <v>123189.62</v>
      </c>
      <c r="D247" s="242">
        <v>131750.35999999999</v>
      </c>
      <c r="E247" s="242">
        <v>77490.86</v>
      </c>
      <c r="F247" s="242">
        <v>76616.600000000006</v>
      </c>
      <c r="G247" s="242">
        <v>87960.42</v>
      </c>
      <c r="H247" s="242">
        <v>96229.94</v>
      </c>
      <c r="I247" s="242">
        <v>131825.38</v>
      </c>
      <c r="J247" s="242">
        <v>118721.06</v>
      </c>
      <c r="K247" s="242">
        <v>120813.2</v>
      </c>
      <c r="L247" s="242">
        <v>100054.16</v>
      </c>
      <c r="M247" s="242">
        <v>123435.5</v>
      </c>
      <c r="N247" s="242">
        <v>120684.82</v>
      </c>
      <c r="O247" s="242">
        <v>1308771.92</v>
      </c>
    </row>
    <row r="248" spans="1:15" x14ac:dyDescent="0.25">
      <c r="A248" s="241" t="s">
        <v>792</v>
      </c>
      <c r="B248" s="241" t="s">
        <v>591</v>
      </c>
      <c r="C248" s="242">
        <v>5763.1</v>
      </c>
      <c r="D248" s="242">
        <v>5702.4</v>
      </c>
      <c r="E248" s="242">
        <v>4615.3999999999996</v>
      </c>
      <c r="F248" s="242">
        <v>12482.56</v>
      </c>
      <c r="G248" s="242">
        <v>14434.62</v>
      </c>
      <c r="H248" s="242">
        <v>12172.92</v>
      </c>
      <c r="I248" s="242">
        <v>6442.9</v>
      </c>
      <c r="J248" s="242">
        <v>14116.46</v>
      </c>
      <c r="K248" s="242">
        <v>5561.62</v>
      </c>
      <c r="L248" s="242">
        <v>5473</v>
      </c>
      <c r="M248" s="242">
        <v>2288.9</v>
      </c>
      <c r="N248" s="242">
        <v>7074.76</v>
      </c>
      <c r="O248" s="242">
        <v>96128.639999999999</v>
      </c>
    </row>
    <row r="249" spans="1:15" x14ac:dyDescent="0.25">
      <c r="A249" s="241" t="s">
        <v>793</v>
      </c>
      <c r="B249" s="241" t="s">
        <v>596</v>
      </c>
      <c r="C249" s="242">
        <v>640.04</v>
      </c>
      <c r="D249" s="242">
        <v>283.48</v>
      </c>
      <c r="E249" s="242">
        <v>207.77</v>
      </c>
      <c r="F249" s="242">
        <v>969.37</v>
      </c>
      <c r="G249" s="242">
        <v>801.11</v>
      </c>
      <c r="H249" s="242">
        <v>311.07</v>
      </c>
      <c r="I249" s="242">
        <v>733.28</v>
      </c>
      <c r="J249" s="242">
        <v>103.43</v>
      </c>
      <c r="K249" s="242">
        <v>541.19000000000005</v>
      </c>
      <c r="L249" s="242">
        <v>1142.58</v>
      </c>
      <c r="M249" s="242">
        <v>892.53</v>
      </c>
      <c r="N249" s="242">
        <v>947.31</v>
      </c>
      <c r="O249" s="242">
        <v>7573.16</v>
      </c>
    </row>
    <row r="250" spans="1:15" x14ac:dyDescent="0.25">
      <c r="A250" s="241" t="s">
        <v>794</v>
      </c>
      <c r="B250" s="241" t="s">
        <v>599</v>
      </c>
      <c r="C250" s="242">
        <v>3637.24</v>
      </c>
      <c r="D250" s="242">
        <v>3845.82</v>
      </c>
      <c r="E250" s="242">
        <v>3766.04</v>
      </c>
      <c r="F250" s="242">
        <v>2843.68</v>
      </c>
      <c r="G250" s="242">
        <v>4530.66</v>
      </c>
      <c r="H250" s="242">
        <v>1712.04</v>
      </c>
      <c r="I250" s="242">
        <v>5060.6000000000004</v>
      </c>
      <c r="J250" s="242">
        <v>2301.6</v>
      </c>
      <c r="K250" s="242">
        <v>2176.08</v>
      </c>
      <c r="L250" s="242">
        <v>3699.78</v>
      </c>
      <c r="M250" s="242">
        <v>1462.3</v>
      </c>
      <c r="N250" s="242">
        <v>2724.36</v>
      </c>
      <c r="O250" s="242">
        <v>37760.199999999997</v>
      </c>
    </row>
    <row r="251" spans="1:15" x14ac:dyDescent="0.25">
      <c r="A251" s="241" t="s">
        <v>795</v>
      </c>
      <c r="B251" s="241" t="s">
        <v>601</v>
      </c>
      <c r="C251" s="242">
        <v>94154.7</v>
      </c>
      <c r="D251" s="242">
        <v>60477.13</v>
      </c>
      <c r="E251" s="242">
        <v>53221.49</v>
      </c>
      <c r="F251" s="242">
        <v>53042.16</v>
      </c>
      <c r="G251" s="242">
        <v>94858.94</v>
      </c>
      <c r="H251" s="242">
        <v>66772.52</v>
      </c>
      <c r="I251" s="242">
        <v>52928.34</v>
      </c>
      <c r="J251" s="242">
        <v>46958.96</v>
      </c>
      <c r="K251" s="242">
        <v>58147.08</v>
      </c>
      <c r="L251" s="242">
        <v>53477.4</v>
      </c>
      <c r="M251" s="242">
        <v>105474.62</v>
      </c>
      <c r="N251" s="242">
        <v>78135.520000000004</v>
      </c>
      <c r="O251" s="242">
        <v>817648.86</v>
      </c>
    </row>
    <row r="252" spans="1:15" x14ac:dyDescent="0.25">
      <c r="A252" s="241" t="s">
        <v>796</v>
      </c>
      <c r="B252" s="241" t="s">
        <v>603</v>
      </c>
      <c r="C252" s="242">
        <v>-58787.58</v>
      </c>
      <c r="D252" s="242">
        <v>-57188.41</v>
      </c>
      <c r="E252" s="242">
        <v>-59164.95</v>
      </c>
      <c r="F252" s="242">
        <v>-68853.23</v>
      </c>
      <c r="G252" s="242">
        <v>-93008.81</v>
      </c>
      <c r="H252" s="242">
        <v>-49364.88</v>
      </c>
      <c r="I252" s="242">
        <v>-74936.960000000006</v>
      </c>
      <c r="J252" s="242">
        <v>-75782.83</v>
      </c>
      <c r="K252" s="242">
        <v>-98651.48</v>
      </c>
      <c r="L252" s="242">
        <v>-61156.74</v>
      </c>
      <c r="M252" s="242">
        <v>-58739.65</v>
      </c>
      <c r="N252" s="242">
        <v>-54665.21</v>
      </c>
      <c r="O252" s="242">
        <v>-810300.73</v>
      </c>
    </row>
    <row r="253" spans="1:15" x14ac:dyDescent="0.25">
      <c r="A253" s="241" t="s">
        <v>797</v>
      </c>
      <c r="B253" s="241" t="s">
        <v>623</v>
      </c>
      <c r="C253" s="242">
        <v>-291665.3</v>
      </c>
      <c r="D253" s="242">
        <v>-314923.58</v>
      </c>
      <c r="E253" s="242">
        <v>-171484.72</v>
      </c>
      <c r="F253" s="242">
        <v>-174077.02</v>
      </c>
      <c r="G253" s="242">
        <v>-221616.52</v>
      </c>
      <c r="H253" s="242">
        <v>-239649.07</v>
      </c>
      <c r="I253" s="242">
        <v>-304935.56</v>
      </c>
      <c r="J253" s="242">
        <v>-282766.7</v>
      </c>
      <c r="K253" s="242">
        <v>-303266.46000000002</v>
      </c>
      <c r="L253" s="242">
        <v>-263391.64</v>
      </c>
      <c r="M253" s="242">
        <v>-289822.78000000003</v>
      </c>
      <c r="N253" s="242">
        <v>-288045.42</v>
      </c>
      <c r="O253" s="242">
        <v>-3145644.77</v>
      </c>
    </row>
    <row r="254" spans="1:15" x14ac:dyDescent="0.25">
      <c r="A254" s="241" t="s">
        <v>798</v>
      </c>
      <c r="B254" s="241" t="s">
        <v>605</v>
      </c>
      <c r="C254" s="246"/>
      <c r="D254" s="244">
        <v>-2856</v>
      </c>
      <c r="E254" s="244">
        <v>792.88</v>
      </c>
      <c r="F254" s="246"/>
      <c r="G254" s="246"/>
      <c r="H254" s="246"/>
      <c r="I254" s="244">
        <v>-161</v>
      </c>
      <c r="J254" s="244">
        <v>-252.64</v>
      </c>
      <c r="K254" s="244">
        <v>-602.62</v>
      </c>
      <c r="L254" s="244">
        <v>-214.22</v>
      </c>
      <c r="M254" s="244">
        <v>5231.42</v>
      </c>
      <c r="N254" s="244">
        <v>-0.03</v>
      </c>
      <c r="O254" s="244">
        <v>1937.79</v>
      </c>
    </row>
    <row r="255" spans="1:15" x14ac:dyDescent="0.25">
      <c r="A255" s="239"/>
      <c r="B255" s="239" t="s">
        <v>799</v>
      </c>
      <c r="C255" s="245">
        <v>291910.74</v>
      </c>
      <c r="D255" s="245">
        <v>294478.84999999998</v>
      </c>
      <c r="E255" s="245">
        <v>233927.3</v>
      </c>
      <c r="F255" s="245">
        <v>239176.19</v>
      </c>
      <c r="G255" s="245">
        <v>452783.03</v>
      </c>
      <c r="H255" s="245">
        <v>366226.26</v>
      </c>
      <c r="I255" s="245">
        <v>392809.05</v>
      </c>
      <c r="J255" s="245">
        <v>315195.73</v>
      </c>
      <c r="K255" s="245">
        <v>358213.49</v>
      </c>
      <c r="L255" s="245">
        <v>278850.46000000002</v>
      </c>
      <c r="M255" s="245">
        <v>390500.37</v>
      </c>
      <c r="N255" s="245">
        <v>423543.14</v>
      </c>
      <c r="O255" s="245">
        <v>4037614.61</v>
      </c>
    </row>
    <row r="256" spans="1:15" x14ac:dyDescent="0.25">
      <c r="A256" s="235"/>
      <c r="B256" s="235"/>
      <c r="C256" s="236"/>
      <c r="D256" s="236"/>
      <c r="E256" s="236"/>
      <c r="F256" s="236"/>
      <c r="G256" s="236"/>
      <c r="H256" s="236"/>
      <c r="I256" s="236"/>
      <c r="J256" s="236"/>
      <c r="K256" s="236"/>
      <c r="L256" s="236"/>
      <c r="M256" s="236"/>
      <c r="N256" s="236"/>
      <c r="O256" s="236"/>
    </row>
    <row r="257" spans="1:15" x14ac:dyDescent="0.25">
      <c r="A257" s="239"/>
      <c r="B257" s="239" t="s">
        <v>800</v>
      </c>
      <c r="C257" s="240"/>
      <c r="D257" s="240"/>
      <c r="E257" s="240"/>
      <c r="F257" s="240"/>
      <c r="G257" s="240"/>
      <c r="H257" s="240"/>
      <c r="I257" s="240"/>
      <c r="J257" s="240"/>
      <c r="K257" s="240"/>
      <c r="L257" s="240"/>
      <c r="M257" s="240"/>
      <c r="N257" s="240"/>
      <c r="O257" s="240"/>
    </row>
    <row r="258" spans="1:15" x14ac:dyDescent="0.25">
      <c r="A258" s="241" t="s">
        <v>801</v>
      </c>
      <c r="B258" s="241" t="s">
        <v>585</v>
      </c>
      <c r="C258" s="242">
        <v>21330.2</v>
      </c>
      <c r="D258" s="242">
        <v>-3054.16</v>
      </c>
      <c r="E258" s="242">
        <v>13538.68</v>
      </c>
      <c r="F258" s="242">
        <v>30020.6</v>
      </c>
      <c r="G258" s="242">
        <v>24703.279999999999</v>
      </c>
      <c r="H258" s="242">
        <v>9201.92</v>
      </c>
      <c r="I258" s="242">
        <v>17581.759999999998</v>
      </c>
      <c r="J258" s="242">
        <v>22790.560000000001</v>
      </c>
      <c r="K258" s="242">
        <v>28255.96</v>
      </c>
      <c r="L258" s="242">
        <v>8325.56</v>
      </c>
      <c r="M258" s="242">
        <v>7888.58</v>
      </c>
      <c r="N258" s="242">
        <v>25611.1</v>
      </c>
      <c r="O258" s="242">
        <v>206194.04</v>
      </c>
    </row>
    <row r="259" spans="1:15" x14ac:dyDescent="0.25">
      <c r="A259" s="241" t="s">
        <v>802</v>
      </c>
      <c r="B259" s="241" t="s">
        <v>587</v>
      </c>
      <c r="C259" s="243"/>
      <c r="D259" s="242">
        <v>3768.82</v>
      </c>
      <c r="E259" s="242">
        <v>6577.56</v>
      </c>
      <c r="F259" s="242">
        <v>5546.14</v>
      </c>
      <c r="G259" s="242">
        <v>5463.04</v>
      </c>
      <c r="H259" s="242">
        <v>2789.7</v>
      </c>
      <c r="I259" s="242">
        <v>906.6</v>
      </c>
      <c r="J259" s="242">
        <v>1756.06</v>
      </c>
      <c r="K259" s="242">
        <v>1382.22</v>
      </c>
      <c r="L259" s="242">
        <v>-870.14</v>
      </c>
      <c r="M259" s="242">
        <v>2835.88</v>
      </c>
      <c r="N259" s="242">
        <v>4076.58</v>
      </c>
      <c r="O259" s="242">
        <v>34232.46</v>
      </c>
    </row>
    <row r="260" spans="1:15" x14ac:dyDescent="0.25">
      <c r="A260" s="241" t="s">
        <v>803</v>
      </c>
      <c r="B260" s="241" t="s">
        <v>589</v>
      </c>
      <c r="C260" s="242">
        <v>16403.66</v>
      </c>
      <c r="D260" s="242">
        <v>17707.96</v>
      </c>
      <c r="E260" s="242">
        <v>8171.36</v>
      </c>
      <c r="F260" s="242">
        <v>6344.34</v>
      </c>
      <c r="G260" s="242">
        <v>627.20000000000005</v>
      </c>
      <c r="H260" s="242">
        <v>1496.4</v>
      </c>
      <c r="I260" s="242">
        <v>3987.06</v>
      </c>
      <c r="J260" s="242">
        <v>3799.1</v>
      </c>
      <c r="K260" s="242">
        <v>4578.0200000000004</v>
      </c>
      <c r="L260" s="242">
        <v>632</v>
      </c>
      <c r="M260" s="242">
        <v>539.17999999999995</v>
      </c>
      <c r="N260" s="242">
        <v>2919.72</v>
      </c>
      <c r="O260" s="242">
        <v>67206</v>
      </c>
    </row>
    <row r="261" spans="1:15" x14ac:dyDescent="0.25">
      <c r="A261" s="241" t="s">
        <v>804</v>
      </c>
      <c r="B261" s="241" t="s">
        <v>623</v>
      </c>
      <c r="C261" s="242">
        <v>-21269.16</v>
      </c>
      <c r="D261" s="242">
        <v>-10947.52</v>
      </c>
      <c r="E261" s="242">
        <v>-16249.77</v>
      </c>
      <c r="F261" s="242">
        <v>-24116.25</v>
      </c>
      <c r="G261" s="242">
        <v>-23228.94</v>
      </c>
      <c r="H261" s="242">
        <v>-20637.560000000001</v>
      </c>
      <c r="I261" s="242">
        <v>-13130.05</v>
      </c>
      <c r="J261" s="242">
        <v>-16256.23</v>
      </c>
      <c r="K261" s="242">
        <v>-20040.21</v>
      </c>
      <c r="L261" s="242">
        <v>-5077.68</v>
      </c>
      <c r="M261" s="242">
        <v>-6922.82</v>
      </c>
      <c r="N261" s="242">
        <v>-20109.72</v>
      </c>
      <c r="O261" s="242">
        <v>-197985.91</v>
      </c>
    </row>
    <row r="262" spans="1:15" x14ac:dyDescent="0.25">
      <c r="A262" s="241" t="s">
        <v>805</v>
      </c>
      <c r="B262" s="241" t="s">
        <v>605</v>
      </c>
      <c r="C262" s="246"/>
      <c r="D262" s="246"/>
      <c r="E262" s="246"/>
      <c r="F262" s="244">
        <v>282.2</v>
      </c>
      <c r="G262" s="246"/>
      <c r="H262" s="244">
        <v>2145.1</v>
      </c>
      <c r="I262" s="246"/>
      <c r="J262" s="244">
        <v>177.44</v>
      </c>
      <c r="K262" s="244">
        <v>334.57</v>
      </c>
      <c r="L262" s="244">
        <v>255.92</v>
      </c>
      <c r="M262" s="246"/>
      <c r="N262" s="244">
        <v>-2.06</v>
      </c>
      <c r="O262" s="244">
        <v>3193.17</v>
      </c>
    </row>
    <row r="263" spans="1:15" x14ac:dyDescent="0.25">
      <c r="A263" s="239"/>
      <c r="B263" s="239" t="s">
        <v>806</v>
      </c>
      <c r="C263" s="245">
        <v>16464.7</v>
      </c>
      <c r="D263" s="245">
        <v>7475.1</v>
      </c>
      <c r="E263" s="245">
        <v>12037.83</v>
      </c>
      <c r="F263" s="245">
        <v>18077.03</v>
      </c>
      <c r="G263" s="245">
        <v>7564.58</v>
      </c>
      <c r="H263" s="245">
        <v>-5004.4399999999996</v>
      </c>
      <c r="I263" s="245">
        <v>9345.3700000000008</v>
      </c>
      <c r="J263" s="245">
        <v>12266.93</v>
      </c>
      <c r="K263" s="245">
        <v>14510.56</v>
      </c>
      <c r="L263" s="245">
        <v>3265.66</v>
      </c>
      <c r="M263" s="245">
        <v>4340.82</v>
      </c>
      <c r="N263" s="245">
        <v>12495.62</v>
      </c>
      <c r="O263" s="245">
        <v>112839.76</v>
      </c>
    </row>
    <row r="264" spans="1:15" x14ac:dyDescent="0.25">
      <c r="A264" s="239"/>
      <c r="B264" s="239"/>
      <c r="C264" s="240"/>
      <c r="D264" s="240"/>
      <c r="E264" s="240"/>
      <c r="F264" s="240"/>
      <c r="G264" s="240"/>
      <c r="H264" s="240"/>
      <c r="I264" s="240"/>
      <c r="J264" s="240"/>
      <c r="K264" s="240"/>
      <c r="L264" s="240"/>
      <c r="M264" s="240"/>
      <c r="N264" s="240"/>
      <c r="O264" s="240"/>
    </row>
    <row r="265" spans="1:15" x14ac:dyDescent="0.25">
      <c r="A265" s="239"/>
      <c r="B265" s="239" t="s">
        <v>807</v>
      </c>
      <c r="C265" s="240"/>
      <c r="D265" s="240"/>
      <c r="E265" s="240"/>
      <c r="F265" s="240"/>
      <c r="G265" s="240"/>
      <c r="H265" s="240"/>
      <c r="I265" s="240"/>
      <c r="J265" s="240"/>
      <c r="K265" s="240"/>
      <c r="L265" s="240"/>
      <c r="M265" s="240"/>
      <c r="N265" s="240"/>
      <c r="O265" s="240"/>
    </row>
    <row r="266" spans="1:15" x14ac:dyDescent="0.25">
      <c r="A266" s="241" t="s">
        <v>808</v>
      </c>
      <c r="B266" s="241" t="s">
        <v>573</v>
      </c>
      <c r="C266" s="242">
        <v>109350</v>
      </c>
      <c r="D266" s="242">
        <v>106919.36</v>
      </c>
      <c r="E266" s="242">
        <v>101500</v>
      </c>
      <c r="F266" s="242">
        <v>97209.67</v>
      </c>
      <c r="G266" s="242">
        <v>99699.99</v>
      </c>
      <c r="H266" s="242">
        <v>98778.57</v>
      </c>
      <c r="I266" s="242">
        <v>102854.84</v>
      </c>
      <c r="J266" s="242">
        <v>106146.67</v>
      </c>
      <c r="K266" s="242">
        <v>100158.06</v>
      </c>
      <c r="L266" s="242">
        <v>86133.33</v>
      </c>
      <c r="M266" s="242">
        <v>79698.39</v>
      </c>
      <c r="N266" s="242">
        <v>86562.89</v>
      </c>
      <c r="O266" s="242">
        <v>1175011.77</v>
      </c>
    </row>
    <row r="267" spans="1:15" x14ac:dyDescent="0.25">
      <c r="A267" s="241" t="s">
        <v>1379</v>
      </c>
      <c r="B267" s="241" t="s">
        <v>601</v>
      </c>
      <c r="C267" s="242">
        <v>11252.5</v>
      </c>
      <c r="D267" s="242">
        <v>14802.24</v>
      </c>
      <c r="E267" s="242">
        <v>12542.8</v>
      </c>
      <c r="F267" s="242">
        <v>14195.63</v>
      </c>
      <c r="G267" s="242">
        <v>15525.63</v>
      </c>
      <c r="H267" s="242">
        <v>10816.85</v>
      </c>
      <c r="I267" s="242">
        <v>15898.69</v>
      </c>
      <c r="J267" s="242">
        <v>11970.75</v>
      </c>
      <c r="K267" s="242">
        <v>12642.48</v>
      </c>
      <c r="L267" s="242">
        <v>8956.36</v>
      </c>
      <c r="M267" s="242">
        <v>16272.97</v>
      </c>
      <c r="N267" s="242">
        <v>10287.379999999999</v>
      </c>
      <c r="O267" s="242">
        <v>155164.28</v>
      </c>
    </row>
    <row r="268" spans="1:15" x14ac:dyDescent="0.25">
      <c r="A268" s="241" t="s">
        <v>809</v>
      </c>
      <c r="B268" s="241" t="s">
        <v>605</v>
      </c>
      <c r="C268" s="244">
        <v>-729.38</v>
      </c>
      <c r="D268" s="246"/>
      <c r="E268" s="246"/>
      <c r="F268" s="246"/>
      <c r="G268" s="246"/>
      <c r="H268" s="246"/>
      <c r="I268" s="246"/>
      <c r="J268" s="246"/>
      <c r="K268" s="246"/>
      <c r="L268" s="246"/>
      <c r="M268" s="246"/>
      <c r="N268" s="246"/>
      <c r="O268" s="244">
        <v>-729.38</v>
      </c>
    </row>
    <row r="269" spans="1:15" x14ac:dyDescent="0.25">
      <c r="A269" s="239"/>
      <c r="B269" s="239" t="s">
        <v>810</v>
      </c>
      <c r="C269" s="245">
        <v>119873.12</v>
      </c>
      <c r="D269" s="245">
        <v>121721.60000000001</v>
      </c>
      <c r="E269" s="245">
        <v>114042.8</v>
      </c>
      <c r="F269" s="245">
        <v>111405.3</v>
      </c>
      <c r="G269" s="245">
        <v>115225.62</v>
      </c>
      <c r="H269" s="245">
        <v>109595.42</v>
      </c>
      <c r="I269" s="245">
        <v>118753.53</v>
      </c>
      <c r="J269" s="245">
        <v>118117.42</v>
      </c>
      <c r="K269" s="245">
        <v>112800.54</v>
      </c>
      <c r="L269" s="245">
        <v>95089.69</v>
      </c>
      <c r="M269" s="245">
        <v>95971.36</v>
      </c>
      <c r="N269" s="245">
        <v>96850.27</v>
      </c>
      <c r="O269" s="245">
        <v>1329446.67</v>
      </c>
    </row>
    <row r="270" spans="1:15" x14ac:dyDescent="0.25">
      <c r="A270" s="235"/>
      <c r="B270" s="235"/>
      <c r="C270" s="236"/>
      <c r="D270" s="236"/>
      <c r="E270" s="236"/>
      <c r="F270" s="236"/>
      <c r="G270" s="236"/>
      <c r="H270" s="236"/>
      <c r="I270" s="236"/>
      <c r="J270" s="236"/>
      <c r="K270" s="236"/>
      <c r="L270" s="236"/>
      <c r="M270" s="236"/>
      <c r="N270" s="236"/>
      <c r="O270" s="236"/>
    </row>
    <row r="271" spans="1:15" x14ac:dyDescent="0.25">
      <c r="A271" s="239"/>
      <c r="B271" s="239" t="s">
        <v>811</v>
      </c>
      <c r="C271" s="247"/>
      <c r="D271" s="247"/>
      <c r="E271" s="247"/>
      <c r="F271" s="247"/>
      <c r="G271" s="247"/>
      <c r="H271" s="247"/>
      <c r="I271" s="247"/>
      <c r="J271" s="247"/>
      <c r="K271" s="247"/>
      <c r="L271" s="247"/>
      <c r="M271" s="247"/>
      <c r="N271" s="247"/>
      <c r="O271" s="247"/>
    </row>
    <row r="272" spans="1:15" x14ac:dyDescent="0.25">
      <c r="A272" s="235"/>
      <c r="B272" s="235"/>
      <c r="C272" s="236"/>
      <c r="D272" s="236"/>
      <c r="E272" s="236"/>
      <c r="F272" s="236"/>
      <c r="G272" s="236"/>
      <c r="H272" s="236"/>
      <c r="I272" s="236"/>
      <c r="J272" s="236"/>
      <c r="K272" s="236"/>
      <c r="L272" s="236"/>
      <c r="M272" s="236"/>
      <c r="N272" s="236"/>
      <c r="O272" s="236"/>
    </row>
    <row r="273" spans="1:15" x14ac:dyDescent="0.25">
      <c r="A273" s="239"/>
      <c r="B273" s="239" t="s">
        <v>812</v>
      </c>
      <c r="C273" s="247"/>
      <c r="D273" s="247"/>
      <c r="E273" s="247"/>
      <c r="F273" s="247"/>
      <c r="G273" s="247"/>
      <c r="H273" s="247"/>
      <c r="I273" s="247"/>
      <c r="J273" s="247"/>
      <c r="K273" s="247"/>
      <c r="L273" s="247"/>
      <c r="M273" s="247"/>
      <c r="N273" s="247"/>
      <c r="O273" s="247"/>
    </row>
    <row r="274" spans="1:15" x14ac:dyDescent="0.25">
      <c r="A274" s="235"/>
      <c r="B274" s="235"/>
      <c r="C274" s="236"/>
      <c r="D274" s="236"/>
      <c r="E274" s="236"/>
      <c r="F274" s="236"/>
      <c r="G274" s="236"/>
      <c r="H274" s="236"/>
      <c r="I274" s="236"/>
      <c r="J274" s="236"/>
      <c r="K274" s="236"/>
      <c r="L274" s="236"/>
      <c r="M274" s="236"/>
      <c r="N274" s="236"/>
      <c r="O274" s="236"/>
    </row>
    <row r="275" spans="1:15" x14ac:dyDescent="0.25">
      <c r="A275" s="239"/>
      <c r="B275" s="239" t="s">
        <v>813</v>
      </c>
      <c r="C275" s="240"/>
      <c r="D275" s="240"/>
      <c r="E275" s="240"/>
      <c r="F275" s="240"/>
      <c r="G275" s="240"/>
      <c r="H275" s="240"/>
      <c r="I275" s="240"/>
      <c r="J275" s="240"/>
      <c r="K275" s="240"/>
      <c r="L275" s="240"/>
      <c r="M275" s="240"/>
      <c r="N275" s="240"/>
      <c r="O275" s="240"/>
    </row>
    <row r="276" spans="1:15" x14ac:dyDescent="0.25">
      <c r="A276" s="241" t="s">
        <v>814</v>
      </c>
      <c r="B276" s="241" t="s">
        <v>815</v>
      </c>
      <c r="C276" s="242">
        <v>4255</v>
      </c>
      <c r="D276" s="242">
        <v>6470</v>
      </c>
      <c r="E276" s="242">
        <v>4370</v>
      </c>
      <c r="F276" s="242">
        <v>3960</v>
      </c>
      <c r="G276" s="242">
        <v>3795</v>
      </c>
      <c r="H276" s="242">
        <v>1610</v>
      </c>
      <c r="I276" s="242">
        <v>1955</v>
      </c>
      <c r="J276" s="242">
        <v>3820</v>
      </c>
      <c r="K276" s="242">
        <v>5365</v>
      </c>
      <c r="L276" s="242">
        <v>7680</v>
      </c>
      <c r="M276" s="242">
        <v>1610</v>
      </c>
      <c r="N276" s="242">
        <v>1610</v>
      </c>
      <c r="O276" s="242">
        <v>46500</v>
      </c>
    </row>
    <row r="277" spans="1:15" x14ac:dyDescent="0.25">
      <c r="A277" s="241" t="s">
        <v>816</v>
      </c>
      <c r="B277" s="241" t="s">
        <v>817</v>
      </c>
      <c r="C277" s="242">
        <v>2011.62</v>
      </c>
      <c r="D277" s="242">
        <v>122.92</v>
      </c>
      <c r="E277" s="242">
        <v>17377.32</v>
      </c>
      <c r="F277" s="242">
        <v>759.37</v>
      </c>
      <c r="G277" s="242">
        <v>517</v>
      </c>
      <c r="H277" s="242">
        <v>7100</v>
      </c>
      <c r="I277" s="242">
        <v>1774</v>
      </c>
      <c r="J277" s="242">
        <v>7196.14</v>
      </c>
      <c r="K277" s="242">
        <v>-3292.18</v>
      </c>
      <c r="L277" s="242">
        <v>23346.62</v>
      </c>
      <c r="M277" s="242">
        <v>7268.43</v>
      </c>
      <c r="N277" s="242">
        <v>6599.91</v>
      </c>
      <c r="O277" s="242">
        <v>70781.149999999994</v>
      </c>
    </row>
    <row r="278" spans="1:15" x14ac:dyDescent="0.25">
      <c r="A278" s="241" t="s">
        <v>818</v>
      </c>
      <c r="B278" s="241" t="s">
        <v>819</v>
      </c>
      <c r="C278" s="242">
        <v>-195.54</v>
      </c>
      <c r="D278" s="242">
        <v>538697.80000000005</v>
      </c>
      <c r="E278" s="242">
        <v>356669.93</v>
      </c>
      <c r="F278" s="242">
        <v>395535.57</v>
      </c>
      <c r="G278" s="242">
        <v>55187.06</v>
      </c>
      <c r="H278" s="242">
        <v>40174.57</v>
      </c>
      <c r="I278" s="242">
        <v>43070.96</v>
      </c>
      <c r="J278" s="242">
        <v>36066.51</v>
      </c>
      <c r="K278" s="242">
        <v>16519.14</v>
      </c>
      <c r="L278" s="242">
        <v>8797.9</v>
      </c>
      <c r="M278" s="242">
        <v>12127.2</v>
      </c>
      <c r="N278" s="242">
        <v>63992.639999999999</v>
      </c>
      <c r="O278" s="242">
        <v>1566643.74</v>
      </c>
    </row>
    <row r="279" spans="1:15" x14ac:dyDescent="0.25">
      <c r="A279" s="241" t="s">
        <v>1449</v>
      </c>
      <c r="B279" s="241" t="s">
        <v>1450</v>
      </c>
      <c r="C279" s="242">
        <v>17814</v>
      </c>
      <c r="D279" s="243"/>
      <c r="E279" s="242">
        <v>20820</v>
      </c>
      <c r="F279" s="243"/>
      <c r="G279" s="243"/>
      <c r="H279" s="243"/>
      <c r="I279" s="243"/>
      <c r="J279" s="243"/>
      <c r="K279" s="243"/>
      <c r="L279" s="243"/>
      <c r="M279" s="243"/>
      <c r="N279" s="243"/>
      <c r="O279" s="242">
        <v>38634</v>
      </c>
    </row>
    <row r="280" spans="1:15" x14ac:dyDescent="0.25">
      <c r="A280" s="241" t="s">
        <v>1620</v>
      </c>
      <c r="B280" s="241" t="s">
        <v>1621</v>
      </c>
      <c r="C280" s="243"/>
      <c r="D280" s="243"/>
      <c r="E280" s="243"/>
      <c r="F280" s="243"/>
      <c r="G280" s="243"/>
      <c r="H280" s="243"/>
      <c r="I280" s="243"/>
      <c r="J280" s="243"/>
      <c r="K280" s="243"/>
      <c r="L280" s="242">
        <v>63864</v>
      </c>
      <c r="M280" s="243"/>
      <c r="N280" s="242">
        <v>40202</v>
      </c>
      <c r="O280" s="242">
        <v>104066</v>
      </c>
    </row>
    <row r="281" spans="1:15" x14ac:dyDescent="0.25">
      <c r="A281" s="241" t="s">
        <v>1425</v>
      </c>
      <c r="B281" s="241" t="s">
        <v>1426</v>
      </c>
      <c r="C281" s="242">
        <v>2009999.94</v>
      </c>
      <c r="D281" s="242">
        <v>800000</v>
      </c>
      <c r="E281" s="242">
        <v>2900000.01</v>
      </c>
      <c r="F281" s="242">
        <v>4364272.6900000004</v>
      </c>
      <c r="G281" s="242">
        <v>373366.19</v>
      </c>
      <c r="H281" s="242">
        <v>420813.03</v>
      </c>
      <c r="I281" s="242">
        <v>287627.21999999997</v>
      </c>
      <c r="J281" s="242">
        <v>64944.61</v>
      </c>
      <c r="K281" s="242">
        <v>-292123.3</v>
      </c>
      <c r="L281" s="242">
        <v>-26462.27</v>
      </c>
      <c r="M281" s="243"/>
      <c r="N281" s="243"/>
      <c r="O281" s="242">
        <v>10902438.119999999</v>
      </c>
    </row>
    <row r="282" spans="1:15" x14ac:dyDescent="0.25">
      <c r="A282" s="241" t="s">
        <v>1427</v>
      </c>
      <c r="B282" s="241" t="s">
        <v>1428</v>
      </c>
      <c r="C282" s="242">
        <v>1022781.83</v>
      </c>
      <c r="D282" s="242">
        <v>2186177.4500000002</v>
      </c>
      <c r="E282" s="242">
        <v>1131353.54</v>
      </c>
      <c r="F282" s="242">
        <v>1861550.78</v>
      </c>
      <c r="G282" s="242">
        <v>861074.32</v>
      </c>
      <c r="H282" s="242">
        <v>942658.52</v>
      </c>
      <c r="I282" s="242">
        <v>3744477.65</v>
      </c>
      <c r="J282" s="242">
        <v>1646671.61</v>
      </c>
      <c r="K282" s="242">
        <v>2160985.73</v>
      </c>
      <c r="L282" s="242">
        <v>1978024.67</v>
      </c>
      <c r="M282" s="242">
        <v>1663398</v>
      </c>
      <c r="N282" s="242">
        <v>1337421.18</v>
      </c>
      <c r="O282" s="242">
        <v>20536575.280000001</v>
      </c>
    </row>
    <row r="283" spans="1:15" x14ac:dyDescent="0.25">
      <c r="A283" s="241" t="s">
        <v>1444</v>
      </c>
      <c r="B283" s="241" t="s">
        <v>1445</v>
      </c>
      <c r="C283" s="242">
        <v>171148</v>
      </c>
      <c r="D283" s="242">
        <v>182449</v>
      </c>
      <c r="E283" s="242">
        <v>219722</v>
      </c>
      <c r="F283" s="242">
        <v>249790</v>
      </c>
      <c r="G283" s="242">
        <v>217159</v>
      </c>
      <c r="H283" s="242">
        <v>165495</v>
      </c>
      <c r="I283" s="242">
        <v>151365</v>
      </c>
      <c r="J283" s="242">
        <v>139095</v>
      </c>
      <c r="K283" s="242">
        <v>129384</v>
      </c>
      <c r="L283" s="242">
        <v>129555</v>
      </c>
      <c r="M283" s="242">
        <v>131309</v>
      </c>
      <c r="N283" s="242">
        <v>137747</v>
      </c>
      <c r="O283" s="242">
        <v>2024218</v>
      </c>
    </row>
    <row r="284" spans="1:15" x14ac:dyDescent="0.25">
      <c r="A284" s="241" t="s">
        <v>1446</v>
      </c>
      <c r="B284" s="241" t="s">
        <v>1447</v>
      </c>
      <c r="C284" s="242">
        <v>51112.53</v>
      </c>
      <c r="D284" s="242">
        <v>82504.509999999995</v>
      </c>
      <c r="E284" s="242">
        <v>101779.22</v>
      </c>
      <c r="F284" s="242">
        <v>61018.76</v>
      </c>
      <c r="G284" s="242">
        <v>63593.84</v>
      </c>
      <c r="H284" s="242">
        <v>57206.34</v>
      </c>
      <c r="I284" s="242">
        <v>63885.62</v>
      </c>
      <c r="J284" s="242">
        <v>62884.97</v>
      </c>
      <c r="K284" s="242">
        <v>40660.629999999997</v>
      </c>
      <c r="L284" s="242">
        <v>58270.74</v>
      </c>
      <c r="M284" s="242">
        <v>35184.230000000003</v>
      </c>
      <c r="N284" s="242">
        <v>44934.86</v>
      </c>
      <c r="O284" s="242">
        <v>723036.25</v>
      </c>
    </row>
    <row r="285" spans="1:15" x14ac:dyDescent="0.25">
      <c r="A285" s="241" t="s">
        <v>1492</v>
      </c>
      <c r="B285" s="241" t="s">
        <v>1493</v>
      </c>
      <c r="C285" s="243"/>
      <c r="D285" s="242">
        <v>1102692.67</v>
      </c>
      <c r="E285" s="242">
        <v>543815.21</v>
      </c>
      <c r="F285" s="242">
        <v>3294221.35</v>
      </c>
      <c r="G285" s="242">
        <v>289957.90999999997</v>
      </c>
      <c r="H285" s="242">
        <v>134075.53</v>
      </c>
      <c r="I285" s="242">
        <v>190120.5</v>
      </c>
      <c r="J285" s="242">
        <v>179790.19</v>
      </c>
      <c r="K285" s="242">
        <v>157677.10999999999</v>
      </c>
      <c r="L285" s="242">
        <v>36810.74</v>
      </c>
      <c r="M285" s="243"/>
      <c r="N285" s="242">
        <v>599999.96</v>
      </c>
      <c r="O285" s="242">
        <v>6529161.1699999999</v>
      </c>
    </row>
    <row r="286" spans="1:15" x14ac:dyDescent="0.25">
      <c r="A286" s="241" t="s">
        <v>820</v>
      </c>
      <c r="B286" s="241" t="s">
        <v>821</v>
      </c>
      <c r="C286" s="244">
        <v>186.72</v>
      </c>
      <c r="D286" s="244">
        <v>377.02</v>
      </c>
      <c r="E286" s="246"/>
      <c r="F286" s="244">
        <v>115.67</v>
      </c>
      <c r="G286" s="244">
        <v>159.75</v>
      </c>
      <c r="H286" s="246"/>
      <c r="I286" s="244">
        <v>317.83</v>
      </c>
      <c r="J286" s="246"/>
      <c r="K286" s="244">
        <v>192.49</v>
      </c>
      <c r="L286" s="244">
        <v>312.7</v>
      </c>
      <c r="M286" s="246"/>
      <c r="N286" s="244">
        <v>351.4</v>
      </c>
      <c r="O286" s="244">
        <v>2013.58</v>
      </c>
    </row>
    <row r="287" spans="1:15" x14ac:dyDescent="0.25">
      <c r="A287" s="239"/>
      <c r="B287" s="239" t="s">
        <v>822</v>
      </c>
      <c r="C287" s="245">
        <v>3279114.1</v>
      </c>
      <c r="D287" s="245">
        <v>4899491.37</v>
      </c>
      <c r="E287" s="245">
        <v>5295907.2300000004</v>
      </c>
      <c r="F287" s="245">
        <v>10231224.189999999</v>
      </c>
      <c r="G287" s="245">
        <v>1864810.07</v>
      </c>
      <c r="H287" s="245">
        <v>1769132.99</v>
      </c>
      <c r="I287" s="245">
        <v>4484593.78</v>
      </c>
      <c r="J287" s="245">
        <v>2140469.0299999998</v>
      </c>
      <c r="K287" s="245">
        <v>2215368.62</v>
      </c>
      <c r="L287" s="245">
        <v>2280200.1</v>
      </c>
      <c r="M287" s="245">
        <v>1850896.86</v>
      </c>
      <c r="N287" s="245">
        <v>2232858.9500000002</v>
      </c>
      <c r="O287" s="245">
        <v>42544067.289999999</v>
      </c>
    </row>
    <row r="288" spans="1:15" x14ac:dyDescent="0.25">
      <c r="A288" s="235"/>
      <c r="B288" s="235"/>
      <c r="C288" s="248"/>
      <c r="D288" s="248"/>
      <c r="E288" s="248"/>
      <c r="F288" s="248"/>
      <c r="G288" s="248"/>
      <c r="H288" s="248"/>
      <c r="I288" s="248"/>
      <c r="J288" s="248"/>
      <c r="K288" s="248"/>
      <c r="L288" s="248"/>
      <c r="M288" s="248"/>
      <c r="N288" s="248"/>
      <c r="O288" s="248"/>
    </row>
    <row r="289" spans="1:15" ht="15.75" thickBot="1" x14ac:dyDescent="0.3">
      <c r="A289" s="239"/>
      <c r="B289" s="239" t="s">
        <v>823</v>
      </c>
      <c r="C289" s="249">
        <v>32800139.359999999</v>
      </c>
      <c r="D289" s="249">
        <v>35485918.719999999</v>
      </c>
      <c r="E289" s="249">
        <v>35398076.950000003</v>
      </c>
      <c r="F289" s="249">
        <v>40548239.369999997</v>
      </c>
      <c r="G289" s="249">
        <v>32377846.68</v>
      </c>
      <c r="H289" s="249">
        <v>29011748.73</v>
      </c>
      <c r="I289" s="249">
        <v>34073200.369999997</v>
      </c>
      <c r="J289" s="249">
        <v>30314006.050000001</v>
      </c>
      <c r="K289" s="249">
        <v>32159327.829999998</v>
      </c>
      <c r="L289" s="249">
        <v>30618604.66</v>
      </c>
      <c r="M289" s="249">
        <v>32038466.719999999</v>
      </c>
      <c r="N289" s="249">
        <v>33065251.949999999</v>
      </c>
      <c r="O289" s="249">
        <v>397890827.38999999</v>
      </c>
    </row>
    <row r="290" spans="1:15" ht="15.75" thickTop="1" x14ac:dyDescent="0.25">
      <c r="A290" s="235"/>
      <c r="B290" s="235"/>
      <c r="C290" s="236"/>
      <c r="D290" s="236"/>
      <c r="E290" s="236"/>
      <c r="F290" s="236"/>
      <c r="G290" s="236"/>
      <c r="H290" s="236"/>
      <c r="I290" s="236"/>
      <c r="J290" s="236"/>
      <c r="K290" s="236"/>
      <c r="L290" s="236"/>
      <c r="M290" s="236"/>
      <c r="N290" s="236"/>
      <c r="O290" s="236"/>
    </row>
    <row r="291" spans="1:15" x14ac:dyDescent="0.25">
      <c r="A291" s="237"/>
      <c r="B291" s="237" t="s">
        <v>824</v>
      </c>
      <c r="C291" s="238"/>
      <c r="D291" s="238"/>
      <c r="E291" s="238"/>
      <c r="F291" s="238"/>
      <c r="G291" s="238"/>
      <c r="H291" s="238"/>
      <c r="I291" s="238"/>
      <c r="J291" s="238"/>
      <c r="K291" s="238"/>
      <c r="L291" s="238"/>
      <c r="M291" s="238"/>
      <c r="N291" s="238"/>
      <c r="O291" s="238"/>
    </row>
    <row r="292" spans="1:15" x14ac:dyDescent="0.25">
      <c r="A292" s="235"/>
      <c r="B292" s="235"/>
      <c r="C292" s="236"/>
      <c r="D292" s="236"/>
      <c r="E292" s="236"/>
      <c r="F292" s="236"/>
      <c r="G292" s="236"/>
      <c r="H292" s="236"/>
      <c r="I292" s="236"/>
      <c r="J292" s="236"/>
      <c r="K292" s="236"/>
      <c r="L292" s="236"/>
      <c r="M292" s="236"/>
      <c r="N292" s="236"/>
      <c r="O292" s="236"/>
    </row>
    <row r="293" spans="1:15" x14ac:dyDescent="0.25">
      <c r="A293" s="239"/>
      <c r="B293" s="239" t="s">
        <v>812</v>
      </c>
      <c r="C293" s="240"/>
      <c r="D293" s="240"/>
      <c r="E293" s="240"/>
      <c r="F293" s="240"/>
      <c r="G293" s="240"/>
      <c r="H293" s="240"/>
      <c r="I293" s="240"/>
      <c r="J293" s="240"/>
      <c r="K293" s="240"/>
      <c r="L293" s="240"/>
      <c r="M293" s="240"/>
      <c r="N293" s="240"/>
      <c r="O293" s="240"/>
    </row>
    <row r="294" spans="1:15" x14ac:dyDescent="0.25">
      <c r="A294" s="241" t="s">
        <v>1414</v>
      </c>
      <c r="B294" s="241" t="s">
        <v>1415</v>
      </c>
      <c r="C294" s="246"/>
      <c r="D294" s="246"/>
      <c r="E294" s="246"/>
      <c r="F294" s="246"/>
      <c r="G294" s="246"/>
      <c r="H294" s="244">
        <v>279.39999999999998</v>
      </c>
      <c r="I294" s="244">
        <v>79.92</v>
      </c>
      <c r="J294" s="246"/>
      <c r="K294" s="246"/>
      <c r="L294" s="246"/>
      <c r="M294" s="246"/>
      <c r="N294" s="246"/>
      <c r="O294" s="244">
        <v>359.32</v>
      </c>
    </row>
    <row r="295" spans="1:15" x14ac:dyDescent="0.25">
      <c r="A295" s="239"/>
      <c r="B295" s="239" t="s">
        <v>826</v>
      </c>
      <c r="C295" s="245">
        <v>0</v>
      </c>
      <c r="D295" s="245">
        <v>0</v>
      </c>
      <c r="E295" s="245">
        <v>0</v>
      </c>
      <c r="F295" s="245">
        <v>0</v>
      </c>
      <c r="G295" s="245">
        <v>0</v>
      </c>
      <c r="H295" s="245">
        <v>279.39999999999998</v>
      </c>
      <c r="I295" s="245">
        <v>79.92</v>
      </c>
      <c r="J295" s="245">
        <v>0</v>
      </c>
      <c r="K295" s="245">
        <v>0</v>
      </c>
      <c r="L295" s="245">
        <v>0</v>
      </c>
      <c r="M295" s="245">
        <v>0</v>
      </c>
      <c r="N295" s="245">
        <v>0</v>
      </c>
      <c r="O295" s="245">
        <v>359.32</v>
      </c>
    </row>
    <row r="296" spans="1:15" x14ac:dyDescent="0.25">
      <c r="A296" s="235"/>
      <c r="B296" s="235"/>
      <c r="C296" s="236"/>
      <c r="D296" s="236"/>
      <c r="E296" s="236"/>
      <c r="F296" s="236"/>
      <c r="G296" s="236"/>
      <c r="H296" s="236"/>
      <c r="I296" s="236"/>
      <c r="J296" s="236"/>
      <c r="K296" s="236"/>
      <c r="L296" s="236"/>
      <c r="M296" s="236"/>
      <c r="N296" s="236"/>
      <c r="O296" s="236"/>
    </row>
    <row r="297" spans="1:15" x14ac:dyDescent="0.25">
      <c r="A297" s="235"/>
      <c r="B297" s="235"/>
      <c r="C297" s="236"/>
      <c r="D297" s="236"/>
      <c r="E297" s="236"/>
      <c r="F297" s="236"/>
      <c r="G297" s="236"/>
      <c r="H297" s="236"/>
      <c r="I297" s="236"/>
      <c r="J297" s="236"/>
      <c r="K297" s="236"/>
      <c r="L297" s="236"/>
      <c r="M297" s="236"/>
      <c r="N297" s="236"/>
      <c r="O297" s="236"/>
    </row>
    <row r="298" spans="1:15" x14ac:dyDescent="0.25">
      <c r="A298" s="239"/>
      <c r="B298" s="239" t="s">
        <v>827</v>
      </c>
      <c r="C298" s="247"/>
      <c r="D298" s="247"/>
      <c r="E298" s="247"/>
      <c r="F298" s="247"/>
      <c r="G298" s="247"/>
      <c r="H298" s="247"/>
      <c r="I298" s="247"/>
      <c r="J298" s="247"/>
      <c r="K298" s="247"/>
      <c r="L298" s="247"/>
      <c r="M298" s="247"/>
      <c r="N298" s="247"/>
      <c r="O298" s="247"/>
    </row>
    <row r="299" spans="1:15" x14ac:dyDescent="0.25">
      <c r="A299" s="235"/>
      <c r="B299" s="235"/>
      <c r="C299" s="236"/>
      <c r="D299" s="236"/>
      <c r="E299" s="236"/>
      <c r="F299" s="236"/>
      <c r="G299" s="236"/>
      <c r="H299" s="236"/>
      <c r="I299" s="236"/>
      <c r="J299" s="236"/>
      <c r="K299" s="236"/>
      <c r="L299" s="236"/>
      <c r="M299" s="236"/>
      <c r="N299" s="236"/>
      <c r="O299" s="236"/>
    </row>
    <row r="300" spans="1:15" x14ac:dyDescent="0.25">
      <c r="A300" s="239"/>
      <c r="B300" s="239" t="s">
        <v>828</v>
      </c>
      <c r="C300" s="247"/>
      <c r="D300" s="247"/>
      <c r="E300" s="247"/>
      <c r="F300" s="247"/>
      <c r="G300" s="247"/>
      <c r="H300" s="247"/>
      <c r="I300" s="247"/>
      <c r="J300" s="247"/>
      <c r="K300" s="247"/>
      <c r="L300" s="247"/>
      <c r="M300" s="247"/>
      <c r="N300" s="247"/>
      <c r="O300" s="247"/>
    </row>
    <row r="301" spans="1:15" x14ac:dyDescent="0.25">
      <c r="A301" s="235"/>
      <c r="B301" s="235"/>
      <c r="C301" s="236"/>
      <c r="D301" s="236"/>
      <c r="E301" s="236"/>
      <c r="F301" s="236"/>
      <c r="G301" s="236"/>
      <c r="H301" s="236"/>
      <c r="I301" s="236"/>
      <c r="J301" s="236"/>
      <c r="K301" s="236"/>
      <c r="L301" s="236"/>
      <c r="M301" s="236"/>
      <c r="N301" s="236"/>
      <c r="O301" s="236"/>
    </row>
    <row r="302" spans="1:15" x14ac:dyDescent="0.25">
      <c r="A302" s="239"/>
      <c r="B302" s="239" t="s">
        <v>829</v>
      </c>
      <c r="C302" s="240"/>
      <c r="D302" s="240"/>
      <c r="E302" s="240"/>
      <c r="F302" s="240"/>
      <c r="G302" s="240"/>
      <c r="H302" s="240"/>
      <c r="I302" s="240"/>
      <c r="J302" s="240"/>
      <c r="K302" s="240"/>
      <c r="L302" s="240"/>
      <c r="M302" s="240"/>
      <c r="N302" s="240"/>
      <c r="O302" s="240"/>
    </row>
    <row r="303" spans="1:15" x14ac:dyDescent="0.25">
      <c r="A303" s="241" t="s">
        <v>830</v>
      </c>
      <c r="B303" s="241" t="s">
        <v>831</v>
      </c>
      <c r="C303" s="242">
        <v>187569.02</v>
      </c>
      <c r="D303" s="242">
        <v>196482.24</v>
      </c>
      <c r="E303" s="242">
        <v>202127.13</v>
      </c>
      <c r="F303" s="242">
        <v>181802.8</v>
      </c>
      <c r="G303" s="242">
        <v>203700.63</v>
      </c>
      <c r="H303" s="242">
        <v>193147.44</v>
      </c>
      <c r="I303" s="242">
        <v>225380.91</v>
      </c>
      <c r="J303" s="242">
        <v>194923.91</v>
      </c>
      <c r="K303" s="242">
        <v>217864.77</v>
      </c>
      <c r="L303" s="242">
        <v>184345.68</v>
      </c>
      <c r="M303" s="242">
        <v>213918.41</v>
      </c>
      <c r="N303" s="242">
        <v>184248.95</v>
      </c>
      <c r="O303" s="242">
        <v>2385511.89</v>
      </c>
    </row>
    <row r="304" spans="1:15" x14ac:dyDescent="0.25">
      <c r="A304" s="241" t="s">
        <v>832</v>
      </c>
      <c r="B304" s="241" t="s">
        <v>833</v>
      </c>
      <c r="C304" s="242">
        <v>329160.34000000003</v>
      </c>
      <c r="D304" s="242">
        <v>307257.61</v>
      </c>
      <c r="E304" s="242">
        <v>301163.21999999997</v>
      </c>
      <c r="F304" s="242">
        <v>333499.34999999998</v>
      </c>
      <c r="G304" s="242">
        <v>316697.75</v>
      </c>
      <c r="H304" s="242">
        <v>328745.51</v>
      </c>
      <c r="I304" s="242">
        <v>339555.98</v>
      </c>
      <c r="J304" s="242">
        <v>327719.77</v>
      </c>
      <c r="K304" s="242">
        <v>337492.78</v>
      </c>
      <c r="L304" s="242">
        <v>295006.3</v>
      </c>
      <c r="M304" s="242">
        <v>335795.66</v>
      </c>
      <c r="N304" s="242">
        <v>343749.49</v>
      </c>
      <c r="O304" s="242">
        <v>3895843.76</v>
      </c>
    </row>
    <row r="305" spans="1:15" x14ac:dyDescent="0.25">
      <c r="A305" s="241" t="s">
        <v>834</v>
      </c>
      <c r="B305" s="241" t="s">
        <v>835</v>
      </c>
      <c r="C305" s="242">
        <v>379085.63</v>
      </c>
      <c r="D305" s="242">
        <v>393181.3</v>
      </c>
      <c r="E305" s="242">
        <v>364354.48</v>
      </c>
      <c r="F305" s="242">
        <v>369323.69</v>
      </c>
      <c r="G305" s="242">
        <v>387688.56</v>
      </c>
      <c r="H305" s="242">
        <v>374107.24</v>
      </c>
      <c r="I305" s="242">
        <v>380649.1</v>
      </c>
      <c r="J305" s="242">
        <v>381796.68</v>
      </c>
      <c r="K305" s="242">
        <v>402601.65</v>
      </c>
      <c r="L305" s="242">
        <v>376973.79</v>
      </c>
      <c r="M305" s="242">
        <v>368932.7</v>
      </c>
      <c r="N305" s="242">
        <v>358110.43</v>
      </c>
      <c r="O305" s="242">
        <v>4536805.25</v>
      </c>
    </row>
    <row r="306" spans="1:15" x14ac:dyDescent="0.25">
      <c r="A306" s="241" t="s">
        <v>836</v>
      </c>
      <c r="B306" s="241" t="s">
        <v>837</v>
      </c>
      <c r="C306" s="243"/>
      <c r="D306" s="243"/>
      <c r="E306" s="243"/>
      <c r="F306" s="243"/>
      <c r="G306" s="242">
        <v>68.42</v>
      </c>
      <c r="H306" s="242">
        <v>-15.38</v>
      </c>
      <c r="I306" s="243"/>
      <c r="J306" s="243"/>
      <c r="K306" s="243"/>
      <c r="L306" s="243"/>
      <c r="M306" s="243"/>
      <c r="N306" s="243"/>
      <c r="O306" s="242">
        <v>53.04</v>
      </c>
    </row>
    <row r="307" spans="1:15" x14ac:dyDescent="0.25">
      <c r="A307" s="241" t="s">
        <v>838</v>
      </c>
      <c r="B307" s="241" t="s">
        <v>839</v>
      </c>
      <c r="C307" s="242">
        <v>15239.67</v>
      </c>
      <c r="D307" s="242">
        <v>11269.93</v>
      </c>
      <c r="E307" s="242">
        <v>15814.23</v>
      </c>
      <c r="F307" s="242">
        <v>16704.72</v>
      </c>
      <c r="G307" s="242">
        <v>14880.76</v>
      </c>
      <c r="H307" s="242">
        <v>16349</v>
      </c>
      <c r="I307" s="242">
        <v>17788.8</v>
      </c>
      <c r="J307" s="242">
        <v>13717.77</v>
      </c>
      <c r="K307" s="242">
        <v>18533.84</v>
      </c>
      <c r="L307" s="242">
        <v>15563.41</v>
      </c>
      <c r="M307" s="242">
        <v>14587.16</v>
      </c>
      <c r="N307" s="242">
        <v>14441.87</v>
      </c>
      <c r="O307" s="242">
        <v>184891.16</v>
      </c>
    </row>
    <row r="308" spans="1:15" x14ac:dyDescent="0.25">
      <c r="A308" s="241" t="s">
        <v>840</v>
      </c>
      <c r="B308" s="241" t="s">
        <v>841</v>
      </c>
      <c r="C308" s="242">
        <v>14186.18</v>
      </c>
      <c r="D308" s="242">
        <v>16938.25</v>
      </c>
      <c r="E308" s="242">
        <v>24371.98</v>
      </c>
      <c r="F308" s="242">
        <v>17429.61</v>
      </c>
      <c r="G308" s="242">
        <v>17553.34</v>
      </c>
      <c r="H308" s="242">
        <v>37332.379999999997</v>
      </c>
      <c r="I308" s="242">
        <v>44424.31</v>
      </c>
      <c r="J308" s="242">
        <v>29948.01</v>
      </c>
      <c r="K308" s="242">
        <v>-906.72</v>
      </c>
      <c r="L308" s="242">
        <v>29635.64</v>
      </c>
      <c r="M308" s="242">
        <v>23391.86</v>
      </c>
      <c r="N308" s="242">
        <v>21173.06</v>
      </c>
      <c r="O308" s="242">
        <v>275477.90000000002</v>
      </c>
    </row>
    <row r="309" spans="1:15" x14ac:dyDescent="0.25">
      <c r="A309" s="241" t="s">
        <v>842</v>
      </c>
      <c r="B309" s="241" t="s">
        <v>843</v>
      </c>
      <c r="C309" s="242">
        <v>193646.98</v>
      </c>
      <c r="D309" s="242">
        <v>226332.14</v>
      </c>
      <c r="E309" s="242">
        <v>196697.27</v>
      </c>
      <c r="F309" s="242">
        <v>186996.63</v>
      </c>
      <c r="G309" s="242">
        <v>224134.23</v>
      </c>
      <c r="H309" s="242">
        <v>217687.56</v>
      </c>
      <c r="I309" s="242">
        <v>234463.84</v>
      </c>
      <c r="J309" s="242">
        <v>239540.18</v>
      </c>
      <c r="K309" s="242">
        <v>270898.89</v>
      </c>
      <c r="L309" s="242">
        <v>215840.13</v>
      </c>
      <c r="M309" s="242">
        <v>209280.49</v>
      </c>
      <c r="N309" s="242">
        <v>194763.01</v>
      </c>
      <c r="O309" s="242">
        <v>2610281.35</v>
      </c>
    </row>
    <row r="310" spans="1:15" x14ac:dyDescent="0.25">
      <c r="A310" s="241" t="s">
        <v>1374</v>
      </c>
      <c r="B310" s="241" t="s">
        <v>1375</v>
      </c>
      <c r="C310" s="242">
        <v>5943.38</v>
      </c>
      <c r="D310" s="242">
        <v>4082.6</v>
      </c>
      <c r="E310" s="242">
        <v>6637.7</v>
      </c>
      <c r="F310" s="242">
        <v>4610.3</v>
      </c>
      <c r="G310" s="242">
        <v>6607.79</v>
      </c>
      <c r="H310" s="242">
        <v>5768.2</v>
      </c>
      <c r="I310" s="242">
        <v>6345.02</v>
      </c>
      <c r="J310" s="242">
        <v>6171.97</v>
      </c>
      <c r="K310" s="242">
        <v>-2653.37</v>
      </c>
      <c r="L310" s="243"/>
      <c r="M310" s="243"/>
      <c r="N310" s="243"/>
      <c r="O310" s="242">
        <v>43513.59</v>
      </c>
    </row>
    <row r="311" spans="1:15" x14ac:dyDescent="0.25">
      <c r="A311" s="241" t="s">
        <v>844</v>
      </c>
      <c r="B311" s="241" t="s">
        <v>845</v>
      </c>
      <c r="C311" s="242">
        <v>192295.32</v>
      </c>
      <c r="D311" s="242">
        <v>190660.28</v>
      </c>
      <c r="E311" s="242">
        <v>177288.77</v>
      </c>
      <c r="F311" s="242">
        <v>145958.76999999999</v>
      </c>
      <c r="G311" s="242">
        <v>175364.68</v>
      </c>
      <c r="H311" s="242">
        <v>179728.05</v>
      </c>
      <c r="I311" s="242">
        <v>179429.88</v>
      </c>
      <c r="J311" s="242">
        <v>208185.45</v>
      </c>
      <c r="K311" s="242">
        <v>190486.21</v>
      </c>
      <c r="L311" s="242">
        <v>199602.4</v>
      </c>
      <c r="M311" s="242">
        <v>195834.17</v>
      </c>
      <c r="N311" s="242">
        <v>182589.24</v>
      </c>
      <c r="O311" s="242">
        <v>2217423.2200000002</v>
      </c>
    </row>
    <row r="312" spans="1:15" x14ac:dyDescent="0.25">
      <c r="A312" s="241" t="s">
        <v>846</v>
      </c>
      <c r="B312" s="241" t="s">
        <v>847</v>
      </c>
      <c r="C312" s="242">
        <v>20221.57</v>
      </c>
      <c r="D312" s="242">
        <v>40071.910000000003</v>
      </c>
      <c r="E312" s="242">
        <v>33854.019999999997</v>
      </c>
      <c r="F312" s="242">
        <v>42723.24</v>
      </c>
      <c r="G312" s="242">
        <v>30451.439999999999</v>
      </c>
      <c r="H312" s="242">
        <v>27824.03</v>
      </c>
      <c r="I312" s="242">
        <v>119780.79</v>
      </c>
      <c r="J312" s="242">
        <v>35003.01</v>
      </c>
      <c r="K312" s="242">
        <v>24938.67</v>
      </c>
      <c r="L312" s="242">
        <v>29092.34</v>
      </c>
      <c r="M312" s="242">
        <v>36673.85</v>
      </c>
      <c r="N312" s="242">
        <v>37538.910000000003</v>
      </c>
      <c r="O312" s="242">
        <v>478173.78</v>
      </c>
    </row>
    <row r="313" spans="1:15" x14ac:dyDescent="0.25">
      <c r="A313" s="241" t="s">
        <v>1562</v>
      </c>
      <c r="B313" s="241" t="s">
        <v>848</v>
      </c>
      <c r="C313" s="243"/>
      <c r="D313" s="243"/>
      <c r="E313" s="243"/>
      <c r="F313" s="243"/>
      <c r="G313" s="243"/>
      <c r="H313" s="242">
        <v>12.85</v>
      </c>
      <c r="I313" s="242">
        <v>678.03</v>
      </c>
      <c r="J313" s="242">
        <v>422.75</v>
      </c>
      <c r="K313" s="242">
        <v>175.34</v>
      </c>
      <c r="L313" s="243"/>
      <c r="M313" s="242">
        <v>1186.3499999999999</v>
      </c>
      <c r="N313" s="243"/>
      <c r="O313" s="242">
        <v>2475.3200000000002</v>
      </c>
    </row>
    <row r="314" spans="1:15" x14ac:dyDescent="0.25">
      <c r="A314" s="241" t="s">
        <v>849</v>
      </c>
      <c r="B314" s="241" t="s">
        <v>850</v>
      </c>
      <c r="C314" s="242">
        <v>49503.73</v>
      </c>
      <c r="D314" s="242">
        <v>75019.55</v>
      </c>
      <c r="E314" s="242">
        <v>71984.91</v>
      </c>
      <c r="F314" s="242">
        <v>46477.05</v>
      </c>
      <c r="G314" s="242">
        <v>68384.92</v>
      </c>
      <c r="H314" s="242">
        <v>79667.710000000006</v>
      </c>
      <c r="I314" s="242">
        <v>77113.25</v>
      </c>
      <c r="J314" s="242">
        <v>74897.710000000006</v>
      </c>
      <c r="K314" s="242">
        <v>73287.89</v>
      </c>
      <c r="L314" s="242">
        <v>68456.52</v>
      </c>
      <c r="M314" s="242">
        <v>73221.25</v>
      </c>
      <c r="N314" s="242">
        <v>97356.15</v>
      </c>
      <c r="O314" s="242">
        <v>855370.64</v>
      </c>
    </row>
    <row r="315" spans="1:15" x14ac:dyDescent="0.25">
      <c r="A315" s="241" t="s">
        <v>851</v>
      </c>
      <c r="B315" s="241" t="s">
        <v>852</v>
      </c>
      <c r="C315" s="242">
        <v>62684.49</v>
      </c>
      <c r="D315" s="242">
        <v>69434.13</v>
      </c>
      <c r="E315" s="242">
        <v>60155.47</v>
      </c>
      <c r="F315" s="242">
        <v>66750.92</v>
      </c>
      <c r="G315" s="242">
        <v>41979.4</v>
      </c>
      <c r="H315" s="242">
        <v>12043.42</v>
      </c>
      <c r="I315" s="242">
        <v>36668.81</v>
      </c>
      <c r="J315" s="242">
        <v>48166.31</v>
      </c>
      <c r="K315" s="242">
        <v>39151.760000000002</v>
      </c>
      <c r="L315" s="242">
        <v>73414.98</v>
      </c>
      <c r="M315" s="242">
        <v>64869.02</v>
      </c>
      <c r="N315" s="242">
        <v>70108.009999999995</v>
      </c>
      <c r="O315" s="242">
        <v>645426.72</v>
      </c>
    </row>
    <row r="316" spans="1:15" x14ac:dyDescent="0.25">
      <c r="A316" s="241" t="s">
        <v>853</v>
      </c>
      <c r="B316" s="241" t="s">
        <v>825</v>
      </c>
      <c r="C316" s="242">
        <v>118431.9</v>
      </c>
      <c r="D316" s="242">
        <v>134253.66</v>
      </c>
      <c r="E316" s="242">
        <v>138706.54</v>
      </c>
      <c r="F316" s="242">
        <v>130114.23</v>
      </c>
      <c r="G316" s="242">
        <v>135720.78</v>
      </c>
      <c r="H316" s="242">
        <v>112112.29</v>
      </c>
      <c r="I316" s="242">
        <v>176343.05</v>
      </c>
      <c r="J316" s="242">
        <v>99008.12</v>
      </c>
      <c r="K316" s="242">
        <v>115979.67</v>
      </c>
      <c r="L316" s="242">
        <v>117879.53</v>
      </c>
      <c r="M316" s="242">
        <v>112998.16</v>
      </c>
      <c r="N316" s="242">
        <v>116157.47</v>
      </c>
      <c r="O316" s="242">
        <v>1507705.4</v>
      </c>
    </row>
    <row r="317" spans="1:15" x14ac:dyDescent="0.25">
      <c r="A317" s="241" t="s">
        <v>854</v>
      </c>
      <c r="B317" s="241" t="s">
        <v>855</v>
      </c>
      <c r="C317" s="243"/>
      <c r="D317" s="242">
        <v>19700</v>
      </c>
      <c r="E317" s="242">
        <v>40565.769999999997</v>
      </c>
      <c r="F317" s="242">
        <v>300</v>
      </c>
      <c r="G317" s="242">
        <v>-4051.68</v>
      </c>
      <c r="H317" s="242">
        <v>20100.580000000002</v>
      </c>
      <c r="I317" s="242">
        <v>8809.19</v>
      </c>
      <c r="J317" s="242">
        <v>33851.56</v>
      </c>
      <c r="K317" s="242">
        <v>56503.48</v>
      </c>
      <c r="L317" s="242">
        <v>37271.879999999997</v>
      </c>
      <c r="M317" s="242">
        <v>-22499.34</v>
      </c>
      <c r="N317" s="243"/>
      <c r="O317" s="242">
        <v>190551.44</v>
      </c>
    </row>
    <row r="318" spans="1:15" x14ac:dyDescent="0.25">
      <c r="A318" s="241" t="s">
        <v>1589</v>
      </c>
      <c r="B318" s="241" t="s">
        <v>1524</v>
      </c>
      <c r="C318" s="243"/>
      <c r="D318" s="243"/>
      <c r="E318" s="243"/>
      <c r="F318" s="243"/>
      <c r="G318" s="243"/>
      <c r="H318" s="243"/>
      <c r="I318" s="242">
        <v>-269.29000000000002</v>
      </c>
      <c r="J318" s="242">
        <v>31173.24</v>
      </c>
      <c r="K318" s="242">
        <v>19857.23</v>
      </c>
      <c r="L318" s="242">
        <v>22129.18</v>
      </c>
      <c r="M318" s="242">
        <v>164073.26</v>
      </c>
      <c r="N318" s="242">
        <v>33010.129999999997</v>
      </c>
      <c r="O318" s="242">
        <v>269973.75</v>
      </c>
    </row>
    <row r="319" spans="1:15" x14ac:dyDescent="0.25">
      <c r="A319" s="241" t="s">
        <v>856</v>
      </c>
      <c r="B319" s="241" t="s">
        <v>857</v>
      </c>
      <c r="C319" s="242">
        <v>6481.24</v>
      </c>
      <c r="D319" s="242">
        <v>8033.82</v>
      </c>
      <c r="E319" s="242">
        <v>7834.63</v>
      </c>
      <c r="F319" s="242">
        <v>5441.95</v>
      </c>
      <c r="G319" s="242">
        <v>8208.73</v>
      </c>
      <c r="H319" s="242">
        <v>4815.05</v>
      </c>
      <c r="I319" s="242">
        <v>5989.36</v>
      </c>
      <c r="J319" s="242">
        <v>5720.66</v>
      </c>
      <c r="K319" s="242">
        <v>10081.07</v>
      </c>
      <c r="L319" s="242">
        <v>6831.94</v>
      </c>
      <c r="M319" s="242">
        <v>6530.48</v>
      </c>
      <c r="N319" s="242">
        <v>6038.01</v>
      </c>
      <c r="O319" s="242">
        <v>82006.94</v>
      </c>
    </row>
    <row r="320" spans="1:15" x14ac:dyDescent="0.25">
      <c r="A320" s="241" t="s">
        <v>1622</v>
      </c>
      <c r="B320" s="241" t="s">
        <v>923</v>
      </c>
      <c r="C320" s="243"/>
      <c r="D320" s="243"/>
      <c r="E320" s="243"/>
      <c r="F320" s="243"/>
      <c r="G320" s="243"/>
      <c r="H320" s="243"/>
      <c r="I320" s="243"/>
      <c r="J320" s="243"/>
      <c r="K320" s="243"/>
      <c r="L320" s="242">
        <v>20.59</v>
      </c>
      <c r="M320" s="243"/>
      <c r="N320" s="243"/>
      <c r="O320" s="242">
        <v>20.59</v>
      </c>
    </row>
    <row r="321" spans="1:15" x14ac:dyDescent="0.25">
      <c r="A321" s="241" t="s">
        <v>858</v>
      </c>
      <c r="B321" s="241" t="s">
        <v>859</v>
      </c>
      <c r="C321" s="242">
        <v>106824</v>
      </c>
      <c r="D321" s="242">
        <v>115596</v>
      </c>
      <c r="E321" s="242">
        <v>111762.75</v>
      </c>
      <c r="F321" s="242">
        <v>106985.75</v>
      </c>
      <c r="G321" s="242">
        <v>115356.65</v>
      </c>
      <c r="H321" s="242">
        <v>105785.25</v>
      </c>
      <c r="I321" s="242">
        <v>109149</v>
      </c>
      <c r="J321" s="242">
        <v>111152</v>
      </c>
      <c r="K321" s="242">
        <v>107251.15</v>
      </c>
      <c r="L321" s="242">
        <v>116764.5</v>
      </c>
      <c r="M321" s="242">
        <v>116337.67</v>
      </c>
      <c r="N321" s="242">
        <v>101323.33</v>
      </c>
      <c r="O321" s="242">
        <v>1324288.05</v>
      </c>
    </row>
    <row r="322" spans="1:15" x14ac:dyDescent="0.25">
      <c r="A322" s="241" t="s">
        <v>860</v>
      </c>
      <c r="B322" s="241" t="s">
        <v>861</v>
      </c>
      <c r="C322" s="242">
        <v>47446.99</v>
      </c>
      <c r="D322" s="242">
        <v>78031.360000000001</v>
      </c>
      <c r="E322" s="242">
        <v>60142.73</v>
      </c>
      <c r="F322" s="242">
        <v>102916.11</v>
      </c>
      <c r="G322" s="242">
        <v>49060.02</v>
      </c>
      <c r="H322" s="242">
        <v>42526.44</v>
      </c>
      <c r="I322" s="242">
        <v>100625.63</v>
      </c>
      <c r="J322" s="242">
        <v>54190.76</v>
      </c>
      <c r="K322" s="242">
        <v>51211.18</v>
      </c>
      <c r="L322" s="242">
        <v>71471.73</v>
      </c>
      <c r="M322" s="242">
        <v>58346.34</v>
      </c>
      <c r="N322" s="242">
        <v>55597.7</v>
      </c>
      <c r="O322" s="242">
        <v>771566.99</v>
      </c>
    </row>
    <row r="323" spans="1:15" x14ac:dyDescent="0.25">
      <c r="A323" s="241" t="s">
        <v>862</v>
      </c>
      <c r="B323" s="241" t="s">
        <v>863</v>
      </c>
      <c r="C323" s="242">
        <v>210</v>
      </c>
      <c r="D323" s="242">
        <v>2090</v>
      </c>
      <c r="E323" s="242">
        <v>275</v>
      </c>
      <c r="F323" s="243"/>
      <c r="G323" s="242">
        <v>844</v>
      </c>
      <c r="H323" s="242">
        <v>4983.4399999999996</v>
      </c>
      <c r="I323" s="242">
        <v>6518.89</v>
      </c>
      <c r="J323" s="242">
        <v>2657.5</v>
      </c>
      <c r="K323" s="242">
        <v>216</v>
      </c>
      <c r="L323" s="243"/>
      <c r="M323" s="242">
        <v>5998.96</v>
      </c>
      <c r="N323" s="243"/>
      <c r="O323" s="242">
        <v>23793.79</v>
      </c>
    </row>
    <row r="324" spans="1:15" x14ac:dyDescent="0.25">
      <c r="A324" s="241" t="s">
        <v>864</v>
      </c>
      <c r="B324" s="241" t="s">
        <v>865</v>
      </c>
      <c r="C324" s="242">
        <v>2215</v>
      </c>
      <c r="D324" s="242">
        <v>314.99</v>
      </c>
      <c r="E324" s="242">
        <v>66.989999999999995</v>
      </c>
      <c r="F324" s="242">
        <v>325.52</v>
      </c>
      <c r="G324" s="242">
        <v>36</v>
      </c>
      <c r="H324" s="242">
        <v>100.4</v>
      </c>
      <c r="I324" s="242">
        <v>1167</v>
      </c>
      <c r="J324" s="242">
        <v>5198.78</v>
      </c>
      <c r="K324" s="242">
        <v>755.94</v>
      </c>
      <c r="L324" s="242">
        <v>5253.8</v>
      </c>
      <c r="M324" s="242">
        <v>216</v>
      </c>
      <c r="N324" s="243"/>
      <c r="O324" s="242">
        <v>15650.42</v>
      </c>
    </row>
    <row r="325" spans="1:15" x14ac:dyDescent="0.25">
      <c r="A325" s="241" t="s">
        <v>866</v>
      </c>
      <c r="B325" s="241" t="s">
        <v>867</v>
      </c>
      <c r="C325" s="242">
        <v>199.81</v>
      </c>
      <c r="D325" s="243"/>
      <c r="E325" s="243"/>
      <c r="F325" s="243"/>
      <c r="G325" s="242">
        <v>19.04</v>
      </c>
      <c r="H325" s="242">
        <v>67.819999999999993</v>
      </c>
      <c r="I325" s="242">
        <v>877.95</v>
      </c>
      <c r="J325" s="242">
        <v>913.02</v>
      </c>
      <c r="K325" s="242">
        <v>105.88</v>
      </c>
      <c r="L325" s="242">
        <v>351.23</v>
      </c>
      <c r="M325" s="242">
        <v>601.27</v>
      </c>
      <c r="N325" s="242">
        <v>426.4</v>
      </c>
      <c r="O325" s="242">
        <v>3562.42</v>
      </c>
    </row>
    <row r="326" spans="1:15" x14ac:dyDescent="0.25">
      <c r="A326" s="241" t="s">
        <v>868</v>
      </c>
      <c r="B326" s="241" t="s">
        <v>591</v>
      </c>
      <c r="C326" s="242">
        <v>2762.17</v>
      </c>
      <c r="D326" s="243"/>
      <c r="E326" s="243"/>
      <c r="F326" s="242">
        <v>3941.67</v>
      </c>
      <c r="G326" s="243"/>
      <c r="H326" s="243"/>
      <c r="I326" s="243"/>
      <c r="J326" s="242">
        <v>-3941.67</v>
      </c>
      <c r="K326" s="243"/>
      <c r="L326" s="243"/>
      <c r="M326" s="243"/>
      <c r="N326" s="243"/>
      <c r="O326" s="242">
        <v>2762.17</v>
      </c>
    </row>
    <row r="327" spans="1:15" x14ac:dyDescent="0.25">
      <c r="A327" s="241" t="s">
        <v>1416</v>
      </c>
      <c r="B327" s="241" t="s">
        <v>1417</v>
      </c>
      <c r="C327" s="242">
        <v>289031.99</v>
      </c>
      <c r="D327" s="242">
        <v>307652.87</v>
      </c>
      <c r="E327" s="242">
        <v>610105</v>
      </c>
      <c r="F327" s="242">
        <v>339660.51</v>
      </c>
      <c r="G327" s="242">
        <v>177124.98</v>
      </c>
      <c r="H327" s="242">
        <v>84313.48</v>
      </c>
      <c r="I327" s="242">
        <v>57861.4</v>
      </c>
      <c r="J327" s="242">
        <v>25132.959999999999</v>
      </c>
      <c r="K327" s="242">
        <v>19880.18</v>
      </c>
      <c r="L327" s="242">
        <v>20984.65</v>
      </c>
      <c r="M327" s="242">
        <v>13695.89</v>
      </c>
      <c r="N327" s="242">
        <v>18431.5</v>
      </c>
      <c r="O327" s="242">
        <v>1963875.41</v>
      </c>
    </row>
    <row r="328" spans="1:15" x14ac:dyDescent="0.25">
      <c r="A328" s="241" t="s">
        <v>870</v>
      </c>
      <c r="B328" s="241" t="s">
        <v>871</v>
      </c>
      <c r="C328" s="242">
        <v>1.76</v>
      </c>
      <c r="D328" s="243"/>
      <c r="E328" s="242">
        <v>209.96</v>
      </c>
      <c r="F328" s="242">
        <v>256.74</v>
      </c>
      <c r="G328" s="242">
        <v>28.17</v>
      </c>
      <c r="H328" s="242">
        <v>-432.39</v>
      </c>
      <c r="I328" s="242">
        <v>-304.10000000000002</v>
      </c>
      <c r="J328" s="242">
        <v>-167.04</v>
      </c>
      <c r="K328" s="242">
        <v>-222.96</v>
      </c>
      <c r="L328" s="242">
        <v>-266.58</v>
      </c>
      <c r="M328" s="242">
        <v>-469.78</v>
      </c>
      <c r="N328" s="242">
        <v>-208.26</v>
      </c>
      <c r="O328" s="242">
        <v>-1574.48</v>
      </c>
    </row>
    <row r="329" spans="1:15" x14ac:dyDescent="0.25">
      <c r="A329" s="241" t="s">
        <v>1451</v>
      </c>
      <c r="B329" s="241" t="s">
        <v>872</v>
      </c>
      <c r="C329" s="243"/>
      <c r="D329" s="243"/>
      <c r="E329" s="243"/>
      <c r="F329" s="243"/>
      <c r="G329" s="242">
        <v>400</v>
      </c>
      <c r="H329" s="243"/>
      <c r="I329" s="243"/>
      <c r="J329" s="243"/>
      <c r="K329" s="243"/>
      <c r="L329" s="243"/>
      <c r="M329" s="243"/>
      <c r="N329" s="243"/>
      <c r="O329" s="242">
        <v>400</v>
      </c>
    </row>
    <row r="330" spans="1:15" x14ac:dyDescent="0.25">
      <c r="A330" s="241" t="s">
        <v>874</v>
      </c>
      <c r="B330" s="241" t="s">
        <v>875</v>
      </c>
      <c r="C330" s="243"/>
      <c r="D330" s="242">
        <v>330.8</v>
      </c>
      <c r="E330" s="242">
        <v>245.01</v>
      </c>
      <c r="F330" s="243"/>
      <c r="G330" s="242">
        <v>95.24</v>
      </c>
      <c r="H330" s="242">
        <v>295.17</v>
      </c>
      <c r="I330" s="242">
        <v>512.52</v>
      </c>
      <c r="J330" s="242">
        <v>532.77</v>
      </c>
      <c r="K330" s="242">
        <v>466.68</v>
      </c>
      <c r="L330" s="242">
        <v>1101.3900000000001</v>
      </c>
      <c r="M330" s="242">
        <v>248.15</v>
      </c>
      <c r="N330" s="242">
        <v>1170.93</v>
      </c>
      <c r="O330" s="242">
        <v>4998.66</v>
      </c>
    </row>
    <row r="331" spans="1:15" x14ac:dyDescent="0.25">
      <c r="A331" s="241" t="s">
        <v>876</v>
      </c>
      <c r="B331" s="241" t="s">
        <v>877</v>
      </c>
      <c r="C331" s="243"/>
      <c r="D331" s="243"/>
      <c r="E331" s="242">
        <v>1000</v>
      </c>
      <c r="F331" s="243"/>
      <c r="G331" s="242">
        <v>3000</v>
      </c>
      <c r="H331" s="243"/>
      <c r="I331" s="242">
        <v>1000</v>
      </c>
      <c r="J331" s="242">
        <v>1000</v>
      </c>
      <c r="K331" s="242">
        <v>1000</v>
      </c>
      <c r="L331" s="243"/>
      <c r="M331" s="243"/>
      <c r="N331" s="243"/>
      <c r="O331" s="242">
        <v>7000</v>
      </c>
    </row>
    <row r="332" spans="1:15" x14ac:dyDescent="0.25">
      <c r="A332" s="241" t="s">
        <v>879</v>
      </c>
      <c r="B332" s="241" t="s">
        <v>880</v>
      </c>
      <c r="C332" s="242">
        <v>415.06</v>
      </c>
      <c r="D332" s="242">
        <v>7773.53</v>
      </c>
      <c r="E332" s="242">
        <v>5302.26</v>
      </c>
      <c r="F332" s="242">
        <v>3481.8</v>
      </c>
      <c r="G332" s="242">
        <v>5212.41</v>
      </c>
      <c r="H332" s="242">
        <v>1793.02</v>
      </c>
      <c r="I332" s="242">
        <v>2597.71</v>
      </c>
      <c r="J332" s="242">
        <v>4023.59</v>
      </c>
      <c r="K332" s="242">
        <v>9486.69</v>
      </c>
      <c r="L332" s="242">
        <v>5782.9</v>
      </c>
      <c r="M332" s="242">
        <v>14968.62</v>
      </c>
      <c r="N332" s="242">
        <v>7812.68</v>
      </c>
      <c r="O332" s="242">
        <v>68650.27</v>
      </c>
    </row>
    <row r="333" spans="1:15" x14ac:dyDescent="0.25">
      <c r="A333" s="241" t="s">
        <v>1494</v>
      </c>
      <c r="B333" s="241" t="s">
        <v>881</v>
      </c>
      <c r="C333" s="243"/>
      <c r="D333" s="242">
        <v>41.82</v>
      </c>
      <c r="E333" s="242">
        <v>33</v>
      </c>
      <c r="F333" s="242">
        <v>7.39</v>
      </c>
      <c r="G333" s="242">
        <v>7</v>
      </c>
      <c r="H333" s="243"/>
      <c r="I333" s="243"/>
      <c r="J333" s="243"/>
      <c r="K333" s="243"/>
      <c r="L333" s="243"/>
      <c r="M333" s="242">
        <v>15.5</v>
      </c>
      <c r="N333" s="243"/>
      <c r="O333" s="242">
        <v>104.71</v>
      </c>
    </row>
    <row r="334" spans="1:15" x14ac:dyDescent="0.25">
      <c r="A334" s="241" t="s">
        <v>882</v>
      </c>
      <c r="B334" s="241" t="s">
        <v>883</v>
      </c>
      <c r="C334" s="242">
        <v>368.86</v>
      </c>
      <c r="D334" s="242">
        <v>863.09</v>
      </c>
      <c r="E334" s="242">
        <v>895.33</v>
      </c>
      <c r="F334" s="242">
        <v>373.78</v>
      </c>
      <c r="G334" s="242">
        <v>453.31</v>
      </c>
      <c r="H334" s="242">
        <v>1005.29</v>
      </c>
      <c r="I334" s="242">
        <v>528.89</v>
      </c>
      <c r="J334" s="242">
        <v>1021.28</v>
      </c>
      <c r="K334" s="242">
        <v>958.24</v>
      </c>
      <c r="L334" s="242">
        <v>924.23</v>
      </c>
      <c r="M334" s="242">
        <v>1352.29</v>
      </c>
      <c r="N334" s="242">
        <v>1027.27</v>
      </c>
      <c r="O334" s="242">
        <v>9771.86</v>
      </c>
    </row>
    <row r="335" spans="1:15" x14ac:dyDescent="0.25">
      <c r="A335" s="241" t="s">
        <v>884</v>
      </c>
      <c r="B335" s="241" t="s">
        <v>885</v>
      </c>
      <c r="C335" s="242">
        <v>1709.22</v>
      </c>
      <c r="D335" s="242">
        <v>1775.08</v>
      </c>
      <c r="E335" s="242">
        <v>2270.4299999999998</v>
      </c>
      <c r="F335" s="242">
        <v>1595.3</v>
      </c>
      <c r="G335" s="242">
        <v>1195.29</v>
      </c>
      <c r="H335" s="242">
        <v>2755.59</v>
      </c>
      <c r="I335" s="242">
        <v>3672.92</v>
      </c>
      <c r="J335" s="242">
        <v>2565.71</v>
      </c>
      <c r="K335" s="242">
        <v>2282.73</v>
      </c>
      <c r="L335" s="242">
        <v>3250.78</v>
      </c>
      <c r="M335" s="242">
        <v>3643.75</v>
      </c>
      <c r="N335" s="242">
        <v>4243.54</v>
      </c>
      <c r="O335" s="242">
        <v>30960.34</v>
      </c>
    </row>
    <row r="336" spans="1:15" x14ac:dyDescent="0.25">
      <c r="A336" s="241" t="s">
        <v>886</v>
      </c>
      <c r="B336" s="241" t="s">
        <v>887</v>
      </c>
      <c r="C336" s="242">
        <v>572.05999999999995</v>
      </c>
      <c r="D336" s="242">
        <v>351.44</v>
      </c>
      <c r="E336" s="242">
        <v>352.96</v>
      </c>
      <c r="F336" s="242">
        <v>278.58999999999997</v>
      </c>
      <c r="G336" s="242">
        <v>215.82</v>
      </c>
      <c r="H336" s="242">
        <v>251.12</v>
      </c>
      <c r="I336" s="242">
        <v>138</v>
      </c>
      <c r="J336" s="242">
        <v>134.78</v>
      </c>
      <c r="K336" s="242">
        <v>613.03</v>
      </c>
      <c r="L336" s="242">
        <v>532.01</v>
      </c>
      <c r="M336" s="242">
        <v>760.71</v>
      </c>
      <c r="N336" s="242">
        <v>636.63</v>
      </c>
      <c r="O336" s="242">
        <v>4837.1499999999996</v>
      </c>
    </row>
    <row r="337" spans="1:15" x14ac:dyDescent="0.25">
      <c r="A337" s="241" t="s">
        <v>888</v>
      </c>
      <c r="B337" s="241" t="s">
        <v>889</v>
      </c>
      <c r="C337" s="243"/>
      <c r="D337" s="243"/>
      <c r="E337" s="242">
        <v>246.08</v>
      </c>
      <c r="F337" s="243"/>
      <c r="G337" s="243"/>
      <c r="H337" s="243"/>
      <c r="I337" s="243"/>
      <c r="J337" s="242">
        <v>153.21</v>
      </c>
      <c r="K337" s="243"/>
      <c r="L337" s="243"/>
      <c r="M337" s="243"/>
      <c r="N337" s="243"/>
      <c r="O337" s="242">
        <v>399.29</v>
      </c>
    </row>
    <row r="338" spans="1:15" x14ac:dyDescent="0.25">
      <c r="A338" s="241" t="s">
        <v>1382</v>
      </c>
      <c r="B338" s="241" t="s">
        <v>890</v>
      </c>
      <c r="C338" s="243"/>
      <c r="D338" s="243"/>
      <c r="E338" s="243"/>
      <c r="F338" s="243"/>
      <c r="G338" s="243"/>
      <c r="H338" s="243"/>
      <c r="I338" s="243"/>
      <c r="J338" s="243"/>
      <c r="K338" s="242">
        <v>425</v>
      </c>
      <c r="L338" s="243"/>
      <c r="M338" s="243"/>
      <c r="N338" s="243"/>
      <c r="O338" s="242">
        <v>425</v>
      </c>
    </row>
    <row r="339" spans="1:15" x14ac:dyDescent="0.25">
      <c r="A339" s="241" t="s">
        <v>891</v>
      </c>
      <c r="B339" s="241" t="s">
        <v>892</v>
      </c>
      <c r="C339" s="242">
        <v>74.89</v>
      </c>
      <c r="D339" s="243"/>
      <c r="E339" s="242">
        <v>18.34</v>
      </c>
      <c r="F339" s="242">
        <v>56.65</v>
      </c>
      <c r="G339" s="242">
        <v>306.55</v>
      </c>
      <c r="H339" s="242">
        <v>3.21</v>
      </c>
      <c r="I339" s="242">
        <v>289.61</v>
      </c>
      <c r="J339" s="243"/>
      <c r="K339" s="243"/>
      <c r="L339" s="242">
        <v>52.44</v>
      </c>
      <c r="M339" s="243"/>
      <c r="N339" s="242">
        <v>76.180000000000007</v>
      </c>
      <c r="O339" s="242">
        <v>877.87</v>
      </c>
    </row>
    <row r="340" spans="1:15" x14ac:dyDescent="0.25">
      <c r="A340" s="241" t="s">
        <v>1611</v>
      </c>
      <c r="B340" s="241" t="s">
        <v>893</v>
      </c>
      <c r="C340" s="246"/>
      <c r="D340" s="246"/>
      <c r="E340" s="246"/>
      <c r="F340" s="246"/>
      <c r="G340" s="246"/>
      <c r="H340" s="246"/>
      <c r="I340" s="246"/>
      <c r="J340" s="246"/>
      <c r="K340" s="244">
        <v>35.950000000000003</v>
      </c>
      <c r="L340" s="244">
        <v>73.5</v>
      </c>
      <c r="M340" s="246"/>
      <c r="N340" s="246"/>
      <c r="O340" s="244">
        <v>109.45</v>
      </c>
    </row>
    <row r="341" spans="1:15" x14ac:dyDescent="0.25">
      <c r="A341" s="239"/>
      <c r="B341" s="239" t="s">
        <v>894</v>
      </c>
      <c r="C341" s="245">
        <v>2026281.26</v>
      </c>
      <c r="D341" s="245">
        <v>2207538.4</v>
      </c>
      <c r="E341" s="245">
        <v>2434481.96</v>
      </c>
      <c r="F341" s="245">
        <v>2108013.0699999998</v>
      </c>
      <c r="G341" s="245">
        <v>1980744.23</v>
      </c>
      <c r="H341" s="245">
        <v>1852873.77</v>
      </c>
      <c r="I341" s="245">
        <v>2137786.4500000002</v>
      </c>
      <c r="J341" s="245">
        <v>1934814.75</v>
      </c>
      <c r="K341" s="245">
        <v>1968758.85</v>
      </c>
      <c r="L341" s="245">
        <v>1898340.89</v>
      </c>
      <c r="M341" s="245">
        <v>2014508.85</v>
      </c>
      <c r="N341" s="245">
        <v>1849822.63</v>
      </c>
      <c r="O341" s="245">
        <v>24413965.109999999</v>
      </c>
    </row>
    <row r="342" spans="1:15" x14ac:dyDescent="0.25">
      <c r="A342" s="235"/>
      <c r="B342" s="235"/>
      <c r="C342" s="236"/>
      <c r="D342" s="236"/>
      <c r="E342" s="236"/>
      <c r="F342" s="236"/>
      <c r="G342" s="236"/>
      <c r="H342" s="236"/>
      <c r="I342" s="236"/>
      <c r="J342" s="236"/>
      <c r="K342" s="236"/>
      <c r="L342" s="236"/>
      <c r="M342" s="236"/>
      <c r="N342" s="236"/>
      <c r="O342" s="236"/>
    </row>
    <row r="343" spans="1:15" x14ac:dyDescent="0.25">
      <c r="A343" s="239"/>
      <c r="B343" s="239" t="s">
        <v>895</v>
      </c>
      <c r="C343" s="240"/>
      <c r="D343" s="240"/>
      <c r="E343" s="240"/>
      <c r="F343" s="240"/>
      <c r="G343" s="240"/>
      <c r="H343" s="240"/>
      <c r="I343" s="240"/>
      <c r="J343" s="240"/>
      <c r="K343" s="240"/>
      <c r="L343" s="240"/>
      <c r="M343" s="240"/>
      <c r="N343" s="240"/>
      <c r="O343" s="240"/>
    </row>
    <row r="344" spans="1:15" x14ac:dyDescent="0.25">
      <c r="A344" s="241" t="s">
        <v>1623</v>
      </c>
      <c r="B344" s="241" t="s">
        <v>837</v>
      </c>
      <c r="C344" s="243"/>
      <c r="D344" s="243"/>
      <c r="E344" s="243"/>
      <c r="F344" s="243"/>
      <c r="G344" s="243"/>
      <c r="H344" s="243"/>
      <c r="I344" s="243"/>
      <c r="J344" s="243"/>
      <c r="K344" s="243"/>
      <c r="L344" s="242">
        <v>6249.72</v>
      </c>
      <c r="M344" s="242">
        <v>3888.9</v>
      </c>
      <c r="N344" s="242">
        <v>3888.9</v>
      </c>
      <c r="O344" s="242">
        <v>14027.52</v>
      </c>
    </row>
    <row r="345" spans="1:15" x14ac:dyDescent="0.25">
      <c r="A345" s="241" t="s">
        <v>1563</v>
      </c>
      <c r="B345" s="241" t="s">
        <v>841</v>
      </c>
      <c r="C345" s="243"/>
      <c r="D345" s="243"/>
      <c r="E345" s="243"/>
      <c r="F345" s="243"/>
      <c r="G345" s="243"/>
      <c r="H345" s="242">
        <v>2708.33</v>
      </c>
      <c r="I345" s="243"/>
      <c r="J345" s="243"/>
      <c r="K345" s="242">
        <v>1003.97</v>
      </c>
      <c r="L345" s="242">
        <v>3521.22</v>
      </c>
      <c r="M345" s="242">
        <v>1941.85</v>
      </c>
      <c r="N345" s="242">
        <v>3281.8</v>
      </c>
      <c r="O345" s="242">
        <v>12457.17</v>
      </c>
    </row>
    <row r="346" spans="1:15" x14ac:dyDescent="0.25">
      <c r="A346" s="241" t="s">
        <v>1564</v>
      </c>
      <c r="B346" s="241" t="s">
        <v>825</v>
      </c>
      <c r="C346" s="243"/>
      <c r="D346" s="243"/>
      <c r="E346" s="243"/>
      <c r="F346" s="243"/>
      <c r="G346" s="243"/>
      <c r="H346" s="242">
        <v>223.93</v>
      </c>
      <c r="I346" s="243"/>
      <c r="J346" s="243"/>
      <c r="K346" s="242">
        <v>76.36</v>
      </c>
      <c r="L346" s="242">
        <v>267.45999999999998</v>
      </c>
      <c r="M346" s="242">
        <v>147.5</v>
      </c>
      <c r="N346" s="242">
        <v>249.27</v>
      </c>
      <c r="O346" s="242">
        <v>964.52</v>
      </c>
    </row>
    <row r="347" spans="1:15" x14ac:dyDescent="0.25">
      <c r="A347" s="241" t="s">
        <v>1612</v>
      </c>
      <c r="B347" s="241" t="s">
        <v>871</v>
      </c>
      <c r="C347" s="246"/>
      <c r="D347" s="246"/>
      <c r="E347" s="246"/>
      <c r="F347" s="246"/>
      <c r="G347" s="246"/>
      <c r="H347" s="246"/>
      <c r="I347" s="246"/>
      <c r="J347" s="246"/>
      <c r="K347" s="244">
        <v>-48.77</v>
      </c>
      <c r="L347" s="244">
        <v>-113.46</v>
      </c>
      <c r="M347" s="246"/>
      <c r="N347" s="246"/>
      <c r="O347" s="244">
        <v>-162.22999999999999</v>
      </c>
    </row>
    <row r="348" spans="1:15" x14ac:dyDescent="0.25">
      <c r="A348" s="239"/>
      <c r="B348" s="239" t="s">
        <v>1565</v>
      </c>
      <c r="C348" s="240"/>
      <c r="D348" s="240"/>
      <c r="E348" s="240"/>
      <c r="F348" s="240"/>
      <c r="G348" s="240"/>
      <c r="H348" s="245">
        <v>2932.26</v>
      </c>
      <c r="I348" s="240"/>
      <c r="J348" s="240"/>
      <c r="K348" s="245">
        <v>1031.56</v>
      </c>
      <c r="L348" s="245">
        <v>9924.94</v>
      </c>
      <c r="M348" s="245">
        <v>5978.25</v>
      </c>
      <c r="N348" s="245">
        <v>7419.97</v>
      </c>
      <c r="O348" s="245">
        <v>27286.98</v>
      </c>
    </row>
    <row r="349" spans="1:15" x14ac:dyDescent="0.25">
      <c r="A349" s="235"/>
      <c r="B349" s="235"/>
      <c r="C349" s="236"/>
      <c r="D349" s="236"/>
      <c r="E349" s="236"/>
      <c r="F349" s="236"/>
      <c r="G349" s="236"/>
      <c r="H349" s="236"/>
      <c r="I349" s="236"/>
      <c r="J349" s="236"/>
      <c r="K349" s="236"/>
      <c r="L349" s="236"/>
      <c r="M349" s="236"/>
      <c r="N349" s="236"/>
      <c r="O349" s="236"/>
    </row>
    <row r="350" spans="1:15" x14ac:dyDescent="0.25">
      <c r="A350" s="239"/>
      <c r="B350" s="239" t="s">
        <v>896</v>
      </c>
      <c r="C350" s="247"/>
      <c r="D350" s="247"/>
      <c r="E350" s="247"/>
      <c r="F350" s="247"/>
      <c r="G350" s="247"/>
      <c r="H350" s="247"/>
      <c r="I350" s="247"/>
      <c r="J350" s="247"/>
      <c r="K350" s="247"/>
      <c r="L350" s="247"/>
      <c r="M350" s="247"/>
      <c r="N350" s="247"/>
      <c r="O350" s="247"/>
    </row>
    <row r="351" spans="1:15" x14ac:dyDescent="0.25">
      <c r="A351" s="235"/>
      <c r="B351" s="235"/>
      <c r="C351" s="236"/>
      <c r="D351" s="236"/>
      <c r="E351" s="236"/>
      <c r="F351" s="236"/>
      <c r="G351" s="236"/>
      <c r="H351" s="236"/>
      <c r="I351" s="236"/>
      <c r="J351" s="236"/>
      <c r="K351" s="236"/>
      <c r="L351" s="236"/>
      <c r="M351" s="236"/>
      <c r="N351" s="236"/>
      <c r="O351" s="236"/>
    </row>
    <row r="352" spans="1:15" x14ac:dyDescent="0.25">
      <c r="A352" s="239"/>
      <c r="B352" s="239" t="s">
        <v>897</v>
      </c>
      <c r="C352" s="240"/>
      <c r="D352" s="240"/>
      <c r="E352" s="240"/>
      <c r="F352" s="240"/>
      <c r="G352" s="240"/>
      <c r="H352" s="240"/>
      <c r="I352" s="240"/>
      <c r="J352" s="240"/>
      <c r="K352" s="240"/>
      <c r="L352" s="240"/>
      <c r="M352" s="240"/>
      <c r="N352" s="240"/>
      <c r="O352" s="240"/>
    </row>
    <row r="353" spans="1:15" x14ac:dyDescent="0.25">
      <c r="A353" s="241" t="s">
        <v>898</v>
      </c>
      <c r="B353" s="241" t="s">
        <v>899</v>
      </c>
      <c r="C353" s="242">
        <v>77389.31</v>
      </c>
      <c r="D353" s="242">
        <v>90260.99</v>
      </c>
      <c r="E353" s="242">
        <v>91132.64</v>
      </c>
      <c r="F353" s="242">
        <v>78616.19</v>
      </c>
      <c r="G353" s="242">
        <v>85810.87</v>
      </c>
      <c r="H353" s="242">
        <v>97168.7</v>
      </c>
      <c r="I353" s="242">
        <v>92807.12</v>
      </c>
      <c r="J353" s="242">
        <v>115301.68</v>
      </c>
      <c r="K353" s="242">
        <v>125868.39</v>
      </c>
      <c r="L353" s="242">
        <v>135689.13</v>
      </c>
      <c r="M353" s="242">
        <v>138794.31</v>
      </c>
      <c r="N353" s="242">
        <v>129990.45</v>
      </c>
      <c r="O353" s="242">
        <v>1258829.78</v>
      </c>
    </row>
    <row r="354" spans="1:15" x14ac:dyDescent="0.25">
      <c r="A354" s="241" t="s">
        <v>900</v>
      </c>
      <c r="B354" s="241" t="s">
        <v>901</v>
      </c>
      <c r="C354" s="242">
        <v>1659213.59</v>
      </c>
      <c r="D354" s="242">
        <v>1632086.65</v>
      </c>
      <c r="E354" s="242">
        <v>1396961.91</v>
      </c>
      <c r="F354" s="242">
        <v>1351521.16</v>
      </c>
      <c r="G354" s="242">
        <v>1512433.78</v>
      </c>
      <c r="H354" s="242">
        <v>1445648.82</v>
      </c>
      <c r="I354" s="242">
        <v>1628370.93</v>
      </c>
      <c r="J354" s="242">
        <v>1551752.02</v>
      </c>
      <c r="K354" s="242">
        <v>1603403.73</v>
      </c>
      <c r="L354" s="242">
        <v>1611981.95</v>
      </c>
      <c r="M354" s="242">
        <v>1655756.12</v>
      </c>
      <c r="N354" s="242">
        <v>1594404.95</v>
      </c>
      <c r="O354" s="242">
        <v>18643535.609999999</v>
      </c>
    </row>
    <row r="355" spans="1:15" x14ac:dyDescent="0.25">
      <c r="A355" s="241" t="s">
        <v>902</v>
      </c>
      <c r="B355" s="241" t="s">
        <v>903</v>
      </c>
      <c r="C355" s="242">
        <v>190242.72</v>
      </c>
      <c r="D355" s="242">
        <v>169239.67999999999</v>
      </c>
      <c r="E355" s="242">
        <v>128018.86</v>
      </c>
      <c r="F355" s="242">
        <v>135752.49</v>
      </c>
      <c r="G355" s="242">
        <v>194917.46</v>
      </c>
      <c r="H355" s="242">
        <v>190533.1</v>
      </c>
      <c r="I355" s="242">
        <v>204398.11</v>
      </c>
      <c r="J355" s="242">
        <v>212418.4</v>
      </c>
      <c r="K355" s="242">
        <v>212437.1</v>
      </c>
      <c r="L355" s="242">
        <v>206171.46</v>
      </c>
      <c r="M355" s="242">
        <v>221313.47</v>
      </c>
      <c r="N355" s="242">
        <v>228017.58</v>
      </c>
      <c r="O355" s="242">
        <v>2293460.4300000002</v>
      </c>
    </row>
    <row r="356" spans="1:15" x14ac:dyDescent="0.25">
      <c r="A356" s="241" t="s">
        <v>904</v>
      </c>
      <c r="B356" s="241" t="s">
        <v>905</v>
      </c>
      <c r="C356" s="242">
        <v>1060680.8700000001</v>
      </c>
      <c r="D356" s="242">
        <v>1070398.3500000001</v>
      </c>
      <c r="E356" s="242">
        <v>869542.11</v>
      </c>
      <c r="F356" s="242">
        <v>953321.03</v>
      </c>
      <c r="G356" s="242">
        <v>1017413.83</v>
      </c>
      <c r="H356" s="242">
        <v>902922.11</v>
      </c>
      <c r="I356" s="242">
        <v>1027999.75</v>
      </c>
      <c r="J356" s="242">
        <v>973010.06</v>
      </c>
      <c r="K356" s="242">
        <v>1021094.04</v>
      </c>
      <c r="L356" s="242">
        <v>1110761.55</v>
      </c>
      <c r="M356" s="242">
        <v>1068667.25</v>
      </c>
      <c r="N356" s="242">
        <v>1030680.85</v>
      </c>
      <c r="O356" s="242">
        <v>12106491.800000001</v>
      </c>
    </row>
    <row r="357" spans="1:15" x14ac:dyDescent="0.25">
      <c r="A357" s="241" t="s">
        <v>906</v>
      </c>
      <c r="B357" s="241" t="s">
        <v>841</v>
      </c>
      <c r="C357" s="242">
        <v>1972.28</v>
      </c>
      <c r="D357" s="242">
        <v>-524</v>
      </c>
      <c r="E357" s="242">
        <v>266</v>
      </c>
      <c r="F357" s="242">
        <v>7.04</v>
      </c>
      <c r="G357" s="242">
        <v>142.96</v>
      </c>
      <c r="H357" s="242">
        <v>75</v>
      </c>
      <c r="I357" s="242">
        <v>71.08</v>
      </c>
      <c r="J357" s="242">
        <v>498.25</v>
      </c>
      <c r="K357" s="242">
        <v>2277.89</v>
      </c>
      <c r="L357" s="242">
        <v>343.2</v>
      </c>
      <c r="M357" s="242">
        <v>2783.88</v>
      </c>
      <c r="N357" s="242">
        <v>1104.48</v>
      </c>
      <c r="O357" s="242">
        <v>9018.06</v>
      </c>
    </row>
    <row r="358" spans="1:15" x14ac:dyDescent="0.25">
      <c r="A358" s="241" t="s">
        <v>907</v>
      </c>
      <c r="B358" s="241" t="s">
        <v>908</v>
      </c>
      <c r="C358" s="243"/>
      <c r="D358" s="243"/>
      <c r="E358" s="243"/>
      <c r="F358" s="242">
        <v>10073.09</v>
      </c>
      <c r="G358" s="242">
        <v>8843.81</v>
      </c>
      <c r="H358" s="242">
        <v>7692.3</v>
      </c>
      <c r="I358" s="242">
        <v>-2230.77</v>
      </c>
      <c r="J358" s="243"/>
      <c r="K358" s="243"/>
      <c r="L358" s="243"/>
      <c r="M358" s="243"/>
      <c r="N358" s="243"/>
      <c r="O358" s="242">
        <v>24378.43</v>
      </c>
    </row>
    <row r="359" spans="1:15" x14ac:dyDescent="0.25">
      <c r="A359" s="241" t="s">
        <v>909</v>
      </c>
      <c r="B359" s="241" t="s">
        <v>910</v>
      </c>
      <c r="C359" s="242">
        <v>157507.95000000001</v>
      </c>
      <c r="D359" s="242">
        <v>150281.34</v>
      </c>
      <c r="E359" s="242">
        <v>130562.23</v>
      </c>
      <c r="F359" s="242">
        <v>121620.16</v>
      </c>
      <c r="G359" s="242">
        <v>152228.26</v>
      </c>
      <c r="H359" s="242">
        <v>138618.54999999999</v>
      </c>
      <c r="I359" s="242">
        <v>165748.5</v>
      </c>
      <c r="J359" s="242">
        <v>158535.71</v>
      </c>
      <c r="K359" s="242">
        <v>165387.04</v>
      </c>
      <c r="L359" s="242">
        <v>155815.47</v>
      </c>
      <c r="M359" s="242">
        <v>159543.79</v>
      </c>
      <c r="N359" s="242">
        <v>153923.74</v>
      </c>
      <c r="O359" s="242">
        <v>1809772.74</v>
      </c>
    </row>
    <row r="360" spans="1:15" x14ac:dyDescent="0.25">
      <c r="A360" s="241" t="s">
        <v>911</v>
      </c>
      <c r="B360" s="241" t="s">
        <v>912</v>
      </c>
      <c r="C360" s="242">
        <v>122858.18</v>
      </c>
      <c r="D360" s="242">
        <v>116119.98</v>
      </c>
      <c r="E360" s="242">
        <v>91433.37</v>
      </c>
      <c r="F360" s="242">
        <v>105166.27</v>
      </c>
      <c r="G360" s="242">
        <v>140477.74</v>
      </c>
      <c r="H360" s="242">
        <v>114744.34</v>
      </c>
      <c r="I360" s="242">
        <v>127915.02</v>
      </c>
      <c r="J360" s="242">
        <v>113302.84</v>
      </c>
      <c r="K360" s="242">
        <v>128163.54</v>
      </c>
      <c r="L360" s="242">
        <v>131482.06</v>
      </c>
      <c r="M360" s="242">
        <v>117244.81</v>
      </c>
      <c r="N360" s="242">
        <v>138395.16</v>
      </c>
      <c r="O360" s="242">
        <v>1447303.31</v>
      </c>
    </row>
    <row r="361" spans="1:15" x14ac:dyDescent="0.25">
      <c r="A361" s="241" t="s">
        <v>913</v>
      </c>
      <c r="B361" s="241" t="s">
        <v>914</v>
      </c>
      <c r="C361" s="242">
        <v>2294962.69</v>
      </c>
      <c r="D361" s="242">
        <v>2233098.83</v>
      </c>
      <c r="E361" s="242">
        <v>1970958.45</v>
      </c>
      <c r="F361" s="242">
        <v>2107603.77</v>
      </c>
      <c r="G361" s="242">
        <v>2239352.39</v>
      </c>
      <c r="H361" s="242">
        <v>2075091.84</v>
      </c>
      <c r="I361" s="242">
        <v>2269587.7599999998</v>
      </c>
      <c r="J361" s="242">
        <v>2254004.0499999998</v>
      </c>
      <c r="K361" s="242">
        <v>2300554.46</v>
      </c>
      <c r="L361" s="242">
        <v>2350611.42</v>
      </c>
      <c r="M361" s="242">
        <v>2349108.56</v>
      </c>
      <c r="N361" s="242">
        <v>2276979.58</v>
      </c>
      <c r="O361" s="242">
        <v>26721913.800000001</v>
      </c>
    </row>
    <row r="362" spans="1:15" x14ac:dyDescent="0.25">
      <c r="A362" s="241" t="s">
        <v>915</v>
      </c>
      <c r="B362" s="241" t="s">
        <v>847</v>
      </c>
      <c r="C362" s="242">
        <v>183388.63</v>
      </c>
      <c r="D362" s="242">
        <v>233820.31</v>
      </c>
      <c r="E362" s="242">
        <v>226578.58</v>
      </c>
      <c r="F362" s="242">
        <v>350934.89</v>
      </c>
      <c r="G362" s="242">
        <v>143818.82999999999</v>
      </c>
      <c r="H362" s="242">
        <v>145141.76000000001</v>
      </c>
      <c r="I362" s="242">
        <v>146961.85999999999</v>
      </c>
      <c r="J362" s="242">
        <v>217102.2</v>
      </c>
      <c r="K362" s="242">
        <v>182307.34</v>
      </c>
      <c r="L362" s="242">
        <v>193114.52</v>
      </c>
      <c r="M362" s="242">
        <v>304147.26</v>
      </c>
      <c r="N362" s="242">
        <v>321072.02</v>
      </c>
      <c r="O362" s="242">
        <v>2648388.2000000002</v>
      </c>
    </row>
    <row r="363" spans="1:15" x14ac:dyDescent="0.25">
      <c r="A363" s="241" t="s">
        <v>916</v>
      </c>
      <c r="B363" s="241" t="s">
        <v>848</v>
      </c>
      <c r="C363" s="243"/>
      <c r="D363" s="243"/>
      <c r="E363" s="243"/>
      <c r="F363" s="242">
        <v>81.16</v>
      </c>
      <c r="G363" s="242">
        <v>469.06</v>
      </c>
      <c r="H363" s="242">
        <v>5573.97</v>
      </c>
      <c r="I363" s="242">
        <v>7080.06</v>
      </c>
      <c r="J363" s="242">
        <v>7606.29</v>
      </c>
      <c r="K363" s="242">
        <v>3310.07</v>
      </c>
      <c r="L363" s="242">
        <v>4440.8900000000003</v>
      </c>
      <c r="M363" s="242">
        <v>8370.0499999999993</v>
      </c>
      <c r="N363" s="242">
        <v>6314.7</v>
      </c>
      <c r="O363" s="242">
        <v>43246.25</v>
      </c>
    </row>
    <row r="364" spans="1:15" x14ac:dyDescent="0.25">
      <c r="A364" s="241" t="s">
        <v>917</v>
      </c>
      <c r="B364" s="241" t="s">
        <v>850</v>
      </c>
      <c r="C364" s="242">
        <v>795394.58</v>
      </c>
      <c r="D364" s="242">
        <v>857112.89</v>
      </c>
      <c r="E364" s="242">
        <v>767811.35</v>
      </c>
      <c r="F364" s="242">
        <v>719120.01</v>
      </c>
      <c r="G364" s="242">
        <v>768973.01</v>
      </c>
      <c r="H364" s="242">
        <v>680930.93</v>
      </c>
      <c r="I364" s="242">
        <v>712290.89</v>
      </c>
      <c r="J364" s="242">
        <v>705666.19</v>
      </c>
      <c r="K364" s="242">
        <v>784579.45</v>
      </c>
      <c r="L364" s="242">
        <v>818864.29</v>
      </c>
      <c r="M364" s="242">
        <v>859982.38</v>
      </c>
      <c r="N364" s="242">
        <v>888291.59</v>
      </c>
      <c r="O364" s="242">
        <v>9359017.5600000005</v>
      </c>
    </row>
    <row r="365" spans="1:15" x14ac:dyDescent="0.25">
      <c r="A365" s="241" t="s">
        <v>918</v>
      </c>
      <c r="B365" s="241" t="s">
        <v>852</v>
      </c>
      <c r="C365" s="242">
        <v>252028.09</v>
      </c>
      <c r="D365" s="242">
        <v>337517.37</v>
      </c>
      <c r="E365" s="242">
        <v>349328.82</v>
      </c>
      <c r="F365" s="242">
        <v>208206.77</v>
      </c>
      <c r="G365" s="242">
        <v>102391.65</v>
      </c>
      <c r="H365" s="242">
        <v>76203.34</v>
      </c>
      <c r="I365" s="242">
        <v>135041.21</v>
      </c>
      <c r="J365" s="242">
        <v>191744.49</v>
      </c>
      <c r="K365" s="242">
        <v>197883.7</v>
      </c>
      <c r="L365" s="242">
        <v>271574.7</v>
      </c>
      <c r="M365" s="242">
        <v>362204.69</v>
      </c>
      <c r="N365" s="242">
        <v>318841.89</v>
      </c>
      <c r="O365" s="242">
        <v>2802966.72</v>
      </c>
    </row>
    <row r="366" spans="1:15" x14ac:dyDescent="0.25">
      <c r="A366" s="241" t="s">
        <v>919</v>
      </c>
      <c r="B366" s="241" t="s">
        <v>825</v>
      </c>
      <c r="C366" s="242">
        <v>564497.9</v>
      </c>
      <c r="D366" s="242">
        <v>570832.93999999994</v>
      </c>
      <c r="E366" s="242">
        <v>606455.24</v>
      </c>
      <c r="F366" s="242">
        <v>626554.23</v>
      </c>
      <c r="G366" s="242">
        <v>636436.82999999996</v>
      </c>
      <c r="H366" s="242">
        <v>492937.48</v>
      </c>
      <c r="I366" s="242">
        <v>780383</v>
      </c>
      <c r="J366" s="242">
        <v>474814.75</v>
      </c>
      <c r="K366" s="242">
        <v>512540.76</v>
      </c>
      <c r="L366" s="242">
        <v>566479.32999999996</v>
      </c>
      <c r="M366" s="242">
        <v>576784.65</v>
      </c>
      <c r="N366" s="242">
        <v>585727.02</v>
      </c>
      <c r="O366" s="242">
        <v>6994444.1299999999</v>
      </c>
    </row>
    <row r="367" spans="1:15" x14ac:dyDescent="0.25">
      <c r="A367" s="241" t="s">
        <v>920</v>
      </c>
      <c r="B367" s="241" t="s">
        <v>855</v>
      </c>
      <c r="C367" s="242">
        <v>724047.09</v>
      </c>
      <c r="D367" s="242">
        <v>903790.67</v>
      </c>
      <c r="E367" s="242">
        <v>842006.08</v>
      </c>
      <c r="F367" s="242">
        <v>1347853.86</v>
      </c>
      <c r="G367" s="242">
        <v>153196.41</v>
      </c>
      <c r="H367" s="242">
        <v>-28614.36</v>
      </c>
      <c r="I367" s="242">
        <v>63077.26</v>
      </c>
      <c r="J367" s="242">
        <v>459.25</v>
      </c>
      <c r="K367" s="242">
        <v>1742.51</v>
      </c>
      <c r="L367" s="242">
        <v>14654.16</v>
      </c>
      <c r="M367" s="242">
        <v>500</v>
      </c>
      <c r="N367" s="242">
        <v>1333.08</v>
      </c>
      <c r="O367" s="242">
        <v>4024046.01</v>
      </c>
    </row>
    <row r="368" spans="1:15" x14ac:dyDescent="0.25">
      <c r="A368" s="241" t="s">
        <v>1523</v>
      </c>
      <c r="B368" s="241" t="s">
        <v>1524</v>
      </c>
      <c r="C368" s="243"/>
      <c r="D368" s="243"/>
      <c r="E368" s="243"/>
      <c r="F368" s="243"/>
      <c r="G368" s="242">
        <v>1015655.19</v>
      </c>
      <c r="H368" s="242">
        <v>1122634.1100000001</v>
      </c>
      <c r="I368" s="242">
        <v>1138999.19</v>
      </c>
      <c r="J368" s="242">
        <v>1257335.81</v>
      </c>
      <c r="K368" s="242">
        <v>1328086.78</v>
      </c>
      <c r="L368" s="242">
        <v>1758400.07</v>
      </c>
      <c r="M368" s="242">
        <v>1928220.03</v>
      </c>
      <c r="N368" s="242">
        <v>1976432.44</v>
      </c>
      <c r="O368" s="242">
        <v>11525763.619999999</v>
      </c>
    </row>
    <row r="369" spans="1:15" x14ac:dyDescent="0.25">
      <c r="A369" s="241" t="s">
        <v>921</v>
      </c>
      <c r="B369" s="241" t="s">
        <v>922</v>
      </c>
      <c r="C369" s="242">
        <v>420.76</v>
      </c>
      <c r="D369" s="242">
        <v>-4816.28</v>
      </c>
      <c r="E369" s="242">
        <v>-1921.99</v>
      </c>
      <c r="F369" s="242">
        <v>36933.65</v>
      </c>
      <c r="G369" s="242">
        <v>56570.49</v>
      </c>
      <c r="H369" s="242">
        <v>11208.12</v>
      </c>
      <c r="I369" s="242">
        <v>11769.48</v>
      </c>
      <c r="J369" s="242">
        <v>11714.84</v>
      </c>
      <c r="K369" s="242">
        <v>24545.360000000001</v>
      </c>
      <c r="L369" s="242">
        <v>22495.06</v>
      </c>
      <c r="M369" s="242">
        <v>6327.05</v>
      </c>
      <c r="N369" s="242">
        <v>12900.63</v>
      </c>
      <c r="O369" s="242">
        <v>188147.17</v>
      </c>
    </row>
    <row r="370" spans="1:15" x14ac:dyDescent="0.25">
      <c r="A370" s="241" t="s">
        <v>924</v>
      </c>
      <c r="B370" s="241" t="s">
        <v>861</v>
      </c>
      <c r="C370" s="242">
        <v>2780</v>
      </c>
      <c r="D370" s="242">
        <v>51.84</v>
      </c>
      <c r="E370" s="243"/>
      <c r="F370" s="243"/>
      <c r="G370" s="243"/>
      <c r="H370" s="243"/>
      <c r="I370" s="242">
        <v>-138</v>
      </c>
      <c r="J370" s="242">
        <v>155</v>
      </c>
      <c r="K370" s="243"/>
      <c r="L370" s="243"/>
      <c r="M370" s="243"/>
      <c r="N370" s="242">
        <v>1295.03</v>
      </c>
      <c r="O370" s="242">
        <v>4143.87</v>
      </c>
    </row>
    <row r="371" spans="1:15" x14ac:dyDescent="0.25">
      <c r="A371" s="241" t="s">
        <v>925</v>
      </c>
      <c r="B371" s="241" t="s">
        <v>865</v>
      </c>
      <c r="C371" s="242">
        <v>6687.49</v>
      </c>
      <c r="D371" s="242">
        <v>-113.44</v>
      </c>
      <c r="E371" s="242">
        <v>4122.84</v>
      </c>
      <c r="F371" s="242">
        <v>1599.97</v>
      </c>
      <c r="G371" s="242">
        <v>371.06</v>
      </c>
      <c r="H371" s="242">
        <v>12262.75</v>
      </c>
      <c r="I371" s="242">
        <v>5590.89</v>
      </c>
      <c r="J371" s="242">
        <v>323.98</v>
      </c>
      <c r="K371" s="242">
        <v>8829.98</v>
      </c>
      <c r="L371" s="242">
        <v>6485.95</v>
      </c>
      <c r="M371" s="242">
        <v>4903</v>
      </c>
      <c r="N371" s="242">
        <v>7930.6</v>
      </c>
      <c r="O371" s="242">
        <v>58995.07</v>
      </c>
    </row>
    <row r="372" spans="1:15" x14ac:dyDescent="0.25">
      <c r="A372" s="241" t="s">
        <v>926</v>
      </c>
      <c r="B372" s="241" t="s">
        <v>867</v>
      </c>
      <c r="C372" s="242">
        <v>10080.41</v>
      </c>
      <c r="D372" s="242">
        <v>6371.23</v>
      </c>
      <c r="E372" s="242">
        <v>2055.61</v>
      </c>
      <c r="F372" s="242">
        <v>2100.23</v>
      </c>
      <c r="G372" s="242">
        <v>5101.5200000000004</v>
      </c>
      <c r="H372" s="242">
        <v>4175.16</v>
      </c>
      <c r="I372" s="242">
        <v>2656.29</v>
      </c>
      <c r="J372" s="242">
        <v>4837.0200000000004</v>
      </c>
      <c r="K372" s="242">
        <v>5911.49</v>
      </c>
      <c r="L372" s="242">
        <v>9931.8700000000008</v>
      </c>
      <c r="M372" s="242">
        <v>6737.27</v>
      </c>
      <c r="N372" s="242">
        <v>5357.02</v>
      </c>
      <c r="O372" s="242">
        <v>65315.12</v>
      </c>
    </row>
    <row r="373" spans="1:15" x14ac:dyDescent="0.25">
      <c r="A373" s="241" t="s">
        <v>927</v>
      </c>
      <c r="B373" s="241" t="s">
        <v>591</v>
      </c>
      <c r="C373" s="242">
        <v>1512.62</v>
      </c>
      <c r="D373" s="242">
        <v>735.8</v>
      </c>
      <c r="E373" s="242">
        <v>6188.53</v>
      </c>
      <c r="F373" s="242">
        <v>4333.71</v>
      </c>
      <c r="G373" s="242">
        <v>4214.03</v>
      </c>
      <c r="H373" s="242">
        <v>2279.71</v>
      </c>
      <c r="I373" s="242">
        <v>474.88</v>
      </c>
      <c r="J373" s="242">
        <v>4765.2700000000004</v>
      </c>
      <c r="K373" s="242">
        <v>1958.7</v>
      </c>
      <c r="L373" s="242">
        <v>2813.53</v>
      </c>
      <c r="M373" s="242">
        <v>11849.86</v>
      </c>
      <c r="N373" s="242">
        <v>7203.14</v>
      </c>
      <c r="O373" s="242">
        <v>48329.78</v>
      </c>
    </row>
    <row r="374" spans="1:15" x14ac:dyDescent="0.25">
      <c r="A374" s="241" t="s">
        <v>929</v>
      </c>
      <c r="B374" s="241" t="s">
        <v>869</v>
      </c>
      <c r="C374" s="242">
        <v>-65</v>
      </c>
      <c r="D374" s="243"/>
      <c r="E374" s="243"/>
      <c r="F374" s="243"/>
      <c r="G374" s="242">
        <v>610</v>
      </c>
      <c r="H374" s="242">
        <v>50</v>
      </c>
      <c r="I374" s="243"/>
      <c r="J374" s="243"/>
      <c r="K374" s="243"/>
      <c r="L374" s="243"/>
      <c r="M374" s="242">
        <v>439.29</v>
      </c>
      <c r="N374" s="242">
        <v>499.21</v>
      </c>
      <c r="O374" s="242">
        <v>1533.5</v>
      </c>
    </row>
    <row r="375" spans="1:15" x14ac:dyDescent="0.25">
      <c r="A375" s="241" t="s">
        <v>1429</v>
      </c>
      <c r="B375" s="241" t="s">
        <v>1417</v>
      </c>
      <c r="C375" s="242">
        <v>610440.56000000006</v>
      </c>
      <c r="D375" s="242">
        <v>659067.39</v>
      </c>
      <c r="E375" s="242">
        <v>1974458.5</v>
      </c>
      <c r="F375" s="242">
        <v>2053010.55</v>
      </c>
      <c r="G375" s="242">
        <v>1378085.02</v>
      </c>
      <c r="H375" s="242">
        <v>426987.46</v>
      </c>
      <c r="I375" s="242">
        <v>368177.79</v>
      </c>
      <c r="J375" s="242">
        <v>247149.31</v>
      </c>
      <c r="K375" s="242">
        <v>324662.28999999998</v>
      </c>
      <c r="L375" s="242">
        <v>310815.96999999997</v>
      </c>
      <c r="M375" s="242">
        <v>306211.03999999998</v>
      </c>
      <c r="N375" s="242">
        <v>542920.5</v>
      </c>
      <c r="O375" s="242">
        <v>9201986.3800000008</v>
      </c>
    </row>
    <row r="376" spans="1:15" x14ac:dyDescent="0.25">
      <c r="A376" s="241" t="s">
        <v>930</v>
      </c>
      <c r="B376" s="241" t="s">
        <v>875</v>
      </c>
      <c r="C376" s="243"/>
      <c r="D376" s="243"/>
      <c r="E376" s="242">
        <v>170.02</v>
      </c>
      <c r="F376" s="242">
        <v>268.94</v>
      </c>
      <c r="G376" s="242">
        <v>-71.12</v>
      </c>
      <c r="H376" s="242">
        <v>128.38999999999999</v>
      </c>
      <c r="I376" s="242">
        <v>69.64</v>
      </c>
      <c r="J376" s="242">
        <v>124.61</v>
      </c>
      <c r="K376" s="242">
        <v>895.44</v>
      </c>
      <c r="L376" s="242">
        <v>150.4</v>
      </c>
      <c r="M376" s="242">
        <v>228.84</v>
      </c>
      <c r="N376" s="242">
        <v>329.67</v>
      </c>
      <c r="O376" s="242">
        <v>2294.83</v>
      </c>
    </row>
    <row r="377" spans="1:15" x14ac:dyDescent="0.25">
      <c r="A377" s="241" t="s">
        <v>931</v>
      </c>
      <c r="B377" s="241" t="s">
        <v>877</v>
      </c>
      <c r="C377" s="242">
        <v>981</v>
      </c>
      <c r="D377" s="243"/>
      <c r="E377" s="243"/>
      <c r="F377" s="242">
        <v>400</v>
      </c>
      <c r="G377" s="243"/>
      <c r="H377" s="243"/>
      <c r="I377" s="242">
        <v>1000</v>
      </c>
      <c r="J377" s="243"/>
      <c r="K377" s="243"/>
      <c r="L377" s="242">
        <v>1850</v>
      </c>
      <c r="M377" s="242">
        <v>1000</v>
      </c>
      <c r="N377" s="243"/>
      <c r="O377" s="242">
        <v>5231</v>
      </c>
    </row>
    <row r="378" spans="1:15" x14ac:dyDescent="0.25">
      <c r="A378" s="241" t="s">
        <v>1566</v>
      </c>
      <c r="B378" s="241" t="s">
        <v>880</v>
      </c>
      <c r="C378" s="243"/>
      <c r="D378" s="243"/>
      <c r="E378" s="243"/>
      <c r="F378" s="243"/>
      <c r="G378" s="243"/>
      <c r="H378" s="242">
        <v>374.6</v>
      </c>
      <c r="I378" s="243"/>
      <c r="J378" s="243"/>
      <c r="K378" s="243"/>
      <c r="L378" s="243"/>
      <c r="M378" s="243"/>
      <c r="N378" s="243"/>
      <c r="O378" s="242">
        <v>374.6</v>
      </c>
    </row>
    <row r="379" spans="1:15" x14ac:dyDescent="0.25">
      <c r="A379" s="241" t="s">
        <v>932</v>
      </c>
      <c r="B379" s="241" t="s">
        <v>890</v>
      </c>
      <c r="C379" s="244">
        <v>7218.1</v>
      </c>
      <c r="D379" s="244">
        <v>6955.73</v>
      </c>
      <c r="E379" s="244">
        <v>7061.04</v>
      </c>
      <c r="F379" s="244">
        <v>5646.66</v>
      </c>
      <c r="G379" s="244">
        <v>8466.93</v>
      </c>
      <c r="H379" s="244">
        <v>-20595.169999999998</v>
      </c>
      <c r="I379" s="244">
        <v>8762.99</v>
      </c>
      <c r="J379" s="244">
        <v>11183.45</v>
      </c>
      <c r="K379" s="244">
        <v>8460.42</v>
      </c>
      <c r="L379" s="244">
        <v>7203.98</v>
      </c>
      <c r="M379" s="244">
        <v>34985.43</v>
      </c>
      <c r="N379" s="244">
        <v>7700.99</v>
      </c>
      <c r="O379" s="244">
        <v>93050.55</v>
      </c>
    </row>
    <row r="380" spans="1:15" x14ac:dyDescent="0.25">
      <c r="A380" s="239"/>
      <c r="B380" s="239" t="s">
        <v>933</v>
      </c>
      <c r="C380" s="245">
        <v>8724239.8200000003</v>
      </c>
      <c r="D380" s="245">
        <v>9032288.2699999996</v>
      </c>
      <c r="E380" s="245">
        <v>9463190.1899999995</v>
      </c>
      <c r="F380" s="245">
        <v>10220725.83</v>
      </c>
      <c r="G380" s="245">
        <v>9625910.0099999998</v>
      </c>
      <c r="H380" s="245">
        <v>7904173.0099999998</v>
      </c>
      <c r="I380" s="245">
        <v>8896864.9299999997</v>
      </c>
      <c r="J380" s="245">
        <v>8513805.4700000007</v>
      </c>
      <c r="K380" s="245">
        <v>8944900.4800000004</v>
      </c>
      <c r="L380" s="245">
        <v>9692130.9600000009</v>
      </c>
      <c r="M380" s="245">
        <v>10126103.029999999</v>
      </c>
      <c r="N380" s="245">
        <v>10237646.32</v>
      </c>
      <c r="O380" s="245">
        <v>111381978.31999999</v>
      </c>
    </row>
    <row r="381" spans="1:15" x14ac:dyDescent="0.25">
      <c r="A381" s="235"/>
      <c r="B381" s="235"/>
      <c r="C381" s="236"/>
      <c r="D381" s="236"/>
      <c r="E381" s="236"/>
      <c r="F381" s="236"/>
      <c r="G381" s="236"/>
      <c r="H381" s="236"/>
      <c r="I381" s="236"/>
      <c r="J381" s="236"/>
      <c r="K381" s="236"/>
      <c r="L381" s="236"/>
      <c r="M381" s="236"/>
      <c r="N381" s="236"/>
      <c r="O381" s="236"/>
    </row>
    <row r="382" spans="1:15" x14ac:dyDescent="0.25">
      <c r="A382" s="235"/>
      <c r="B382" s="235"/>
      <c r="C382" s="248"/>
      <c r="D382" s="248"/>
      <c r="E382" s="248"/>
      <c r="F382" s="248"/>
      <c r="G382" s="248"/>
      <c r="H382" s="248"/>
      <c r="I382" s="248"/>
      <c r="J382" s="248"/>
      <c r="K382" s="248"/>
      <c r="L382" s="248"/>
      <c r="M382" s="248"/>
      <c r="N382" s="248"/>
      <c r="O382" s="248"/>
    </row>
    <row r="383" spans="1:15" x14ac:dyDescent="0.25">
      <c r="A383" s="239"/>
      <c r="B383" s="239" t="s">
        <v>934</v>
      </c>
      <c r="C383" s="245">
        <v>8724239.8200000003</v>
      </c>
      <c r="D383" s="245">
        <v>9032288.2699999996</v>
      </c>
      <c r="E383" s="245">
        <v>9463190.1899999995</v>
      </c>
      <c r="F383" s="245">
        <v>10220725.83</v>
      </c>
      <c r="G383" s="245">
        <v>9625910.0099999998</v>
      </c>
      <c r="H383" s="245">
        <v>7904173.0099999998</v>
      </c>
      <c r="I383" s="245">
        <v>8896864.9299999997</v>
      </c>
      <c r="J383" s="245">
        <v>8513805.4700000007</v>
      </c>
      <c r="K383" s="245">
        <v>8944900.4800000004</v>
      </c>
      <c r="L383" s="245">
        <v>9692130.9600000009</v>
      </c>
      <c r="M383" s="245">
        <v>10126103.029999999</v>
      </c>
      <c r="N383" s="245">
        <v>10237646.32</v>
      </c>
      <c r="O383" s="245">
        <v>111381978.31999999</v>
      </c>
    </row>
    <row r="384" spans="1:15" x14ac:dyDescent="0.25">
      <c r="A384" s="235"/>
      <c r="B384" s="235"/>
      <c r="C384" s="236"/>
      <c r="D384" s="236"/>
      <c r="E384" s="236"/>
      <c r="F384" s="236"/>
      <c r="G384" s="236"/>
      <c r="H384" s="236"/>
      <c r="I384" s="236"/>
      <c r="J384" s="236"/>
      <c r="K384" s="236"/>
      <c r="L384" s="236"/>
      <c r="M384" s="236"/>
      <c r="N384" s="236"/>
      <c r="O384" s="236"/>
    </row>
    <row r="385" spans="1:15" x14ac:dyDescent="0.25">
      <c r="A385" s="239"/>
      <c r="B385" s="239" t="s">
        <v>935</v>
      </c>
      <c r="C385" s="240"/>
      <c r="D385" s="240"/>
      <c r="E385" s="240"/>
      <c r="F385" s="240"/>
      <c r="G385" s="240"/>
      <c r="H385" s="240"/>
      <c r="I385" s="240"/>
      <c r="J385" s="240"/>
      <c r="K385" s="240"/>
      <c r="L385" s="240"/>
      <c r="M385" s="240"/>
      <c r="N385" s="240"/>
      <c r="O385" s="240"/>
    </row>
    <row r="386" spans="1:15" x14ac:dyDescent="0.25">
      <c r="A386" s="241" t="s">
        <v>936</v>
      </c>
      <c r="B386" s="241" t="s">
        <v>937</v>
      </c>
      <c r="C386" s="242">
        <v>79108.539999999994</v>
      </c>
      <c r="D386" s="242">
        <v>75043.06</v>
      </c>
      <c r="E386" s="242">
        <v>62104.02</v>
      </c>
      <c r="F386" s="242">
        <v>68253.58</v>
      </c>
      <c r="G386" s="242">
        <v>67374.490000000005</v>
      </c>
      <c r="H386" s="242">
        <v>66379.59</v>
      </c>
      <c r="I386" s="242">
        <v>78131.25</v>
      </c>
      <c r="J386" s="242">
        <v>86528.14</v>
      </c>
      <c r="K386" s="242">
        <v>81529.72</v>
      </c>
      <c r="L386" s="242">
        <v>73075.37</v>
      </c>
      <c r="M386" s="242">
        <v>84740.52</v>
      </c>
      <c r="N386" s="242">
        <v>75944.83</v>
      </c>
      <c r="O386" s="242">
        <v>898213.11</v>
      </c>
    </row>
    <row r="387" spans="1:15" x14ac:dyDescent="0.25">
      <c r="A387" s="241" t="s">
        <v>938</v>
      </c>
      <c r="B387" s="241" t="s">
        <v>847</v>
      </c>
      <c r="C387" s="242">
        <v>1720</v>
      </c>
      <c r="D387" s="242">
        <v>2520.5</v>
      </c>
      <c r="E387" s="242">
        <v>2991</v>
      </c>
      <c r="F387" s="242">
        <v>990</v>
      </c>
      <c r="G387" s="242">
        <v>1625</v>
      </c>
      <c r="H387" s="242">
        <v>1875</v>
      </c>
      <c r="I387" s="242">
        <v>1175</v>
      </c>
      <c r="J387" s="242">
        <v>1587.5</v>
      </c>
      <c r="K387" s="242">
        <v>950</v>
      </c>
      <c r="L387" s="242">
        <v>100</v>
      </c>
      <c r="M387" s="242">
        <v>928.5</v>
      </c>
      <c r="N387" s="242">
        <v>1596.62</v>
      </c>
      <c r="O387" s="242">
        <v>18059.12</v>
      </c>
    </row>
    <row r="388" spans="1:15" x14ac:dyDescent="0.25">
      <c r="A388" s="241" t="s">
        <v>1567</v>
      </c>
      <c r="B388" s="241" t="s">
        <v>848</v>
      </c>
      <c r="C388" s="243"/>
      <c r="D388" s="243"/>
      <c r="E388" s="243"/>
      <c r="F388" s="243"/>
      <c r="G388" s="243"/>
      <c r="H388" s="242">
        <v>124.19</v>
      </c>
      <c r="I388" s="243"/>
      <c r="J388" s="242">
        <v>58.58</v>
      </c>
      <c r="K388" s="242">
        <v>8.7799999999999994</v>
      </c>
      <c r="L388" s="243"/>
      <c r="M388" s="243"/>
      <c r="N388" s="243"/>
      <c r="O388" s="242">
        <v>191.55</v>
      </c>
    </row>
    <row r="389" spans="1:15" x14ac:dyDescent="0.25">
      <c r="A389" s="241" t="s">
        <v>939</v>
      </c>
      <c r="B389" s="241" t="s">
        <v>850</v>
      </c>
      <c r="C389" s="242">
        <v>12383.42</v>
      </c>
      <c r="D389" s="242">
        <v>9437.32</v>
      </c>
      <c r="E389" s="242">
        <v>13795.97</v>
      </c>
      <c r="F389" s="242">
        <v>13640.62</v>
      </c>
      <c r="G389" s="242">
        <v>8294.27</v>
      </c>
      <c r="H389" s="242">
        <v>8636.85</v>
      </c>
      <c r="I389" s="242">
        <v>9483.17</v>
      </c>
      <c r="J389" s="242">
        <v>11017.28</v>
      </c>
      <c r="K389" s="242">
        <v>11664.31</v>
      </c>
      <c r="L389" s="242">
        <v>6575</v>
      </c>
      <c r="M389" s="242">
        <v>11410.41</v>
      </c>
      <c r="N389" s="242">
        <v>12271.44</v>
      </c>
      <c r="O389" s="242">
        <v>128610.06</v>
      </c>
    </row>
    <row r="390" spans="1:15" x14ac:dyDescent="0.25">
      <c r="A390" s="241" t="s">
        <v>940</v>
      </c>
      <c r="B390" s="241" t="s">
        <v>852</v>
      </c>
      <c r="C390" s="242">
        <v>4943.49</v>
      </c>
      <c r="D390" s="242">
        <v>5385.41</v>
      </c>
      <c r="E390" s="242">
        <v>8539.24</v>
      </c>
      <c r="F390" s="242">
        <v>5295.86</v>
      </c>
      <c r="G390" s="242">
        <v>5637.32</v>
      </c>
      <c r="H390" s="242">
        <v>1853.38</v>
      </c>
      <c r="I390" s="242">
        <v>2370.37</v>
      </c>
      <c r="J390" s="242">
        <v>2579.92</v>
      </c>
      <c r="K390" s="242">
        <v>4344.59</v>
      </c>
      <c r="L390" s="242">
        <v>8828.92</v>
      </c>
      <c r="M390" s="242">
        <v>6580.73</v>
      </c>
      <c r="N390" s="242">
        <v>7881.86</v>
      </c>
      <c r="O390" s="242">
        <v>64241.09</v>
      </c>
    </row>
    <row r="391" spans="1:15" x14ac:dyDescent="0.25">
      <c r="A391" s="241" t="s">
        <v>941</v>
      </c>
      <c r="B391" s="241" t="s">
        <v>825</v>
      </c>
      <c r="C391" s="242">
        <v>7229.36</v>
      </c>
      <c r="D391" s="242">
        <v>6815.21</v>
      </c>
      <c r="E391" s="242">
        <v>6821.62</v>
      </c>
      <c r="F391" s="242">
        <v>6999.82</v>
      </c>
      <c r="G391" s="242">
        <v>6883.32</v>
      </c>
      <c r="H391" s="242">
        <v>6152.02</v>
      </c>
      <c r="I391" s="242">
        <v>11082.13</v>
      </c>
      <c r="J391" s="242">
        <v>7024.68</v>
      </c>
      <c r="K391" s="242">
        <v>6725.62</v>
      </c>
      <c r="L391" s="242">
        <v>6580.27</v>
      </c>
      <c r="M391" s="242">
        <v>7711.08</v>
      </c>
      <c r="N391" s="242">
        <v>7103.89</v>
      </c>
      <c r="O391" s="242">
        <v>87129.02</v>
      </c>
    </row>
    <row r="392" spans="1:15" x14ac:dyDescent="0.25">
      <c r="A392" s="241" t="s">
        <v>1376</v>
      </c>
      <c r="B392" s="241" t="s">
        <v>855</v>
      </c>
      <c r="C392" s="243"/>
      <c r="D392" s="243"/>
      <c r="E392" s="243"/>
      <c r="F392" s="243"/>
      <c r="G392" s="243"/>
      <c r="H392" s="242">
        <v>136.16</v>
      </c>
      <c r="I392" s="242">
        <v>222.45</v>
      </c>
      <c r="J392" s="243"/>
      <c r="K392" s="243"/>
      <c r="L392" s="243"/>
      <c r="M392" s="242">
        <v>208.59</v>
      </c>
      <c r="N392" s="243"/>
      <c r="O392" s="242">
        <v>567.20000000000005</v>
      </c>
    </row>
    <row r="393" spans="1:15" x14ac:dyDescent="0.25">
      <c r="A393" s="241" t="s">
        <v>942</v>
      </c>
      <c r="B393" s="241" t="s">
        <v>943</v>
      </c>
      <c r="C393" s="242">
        <v>33498.14</v>
      </c>
      <c r="D393" s="242">
        <v>35785.129999999997</v>
      </c>
      <c r="E393" s="242">
        <v>44558.15</v>
      </c>
      <c r="F393" s="242">
        <v>35231.620000000003</v>
      </c>
      <c r="G393" s="242">
        <v>46472.47</v>
      </c>
      <c r="H393" s="242">
        <v>33010.92</v>
      </c>
      <c r="I393" s="242">
        <v>35029.269999999997</v>
      </c>
      <c r="J393" s="242">
        <v>41815.910000000003</v>
      </c>
      <c r="K393" s="242">
        <v>33569.4</v>
      </c>
      <c r="L393" s="242">
        <v>26533.8</v>
      </c>
      <c r="M393" s="242">
        <v>23873.67</v>
      </c>
      <c r="N393" s="242">
        <v>25144.99</v>
      </c>
      <c r="O393" s="242">
        <v>414523.47</v>
      </c>
    </row>
    <row r="394" spans="1:15" x14ac:dyDescent="0.25">
      <c r="A394" s="241" t="s">
        <v>944</v>
      </c>
      <c r="B394" s="241" t="s">
        <v>945</v>
      </c>
      <c r="C394" s="242">
        <v>377759</v>
      </c>
      <c r="D394" s="242">
        <v>481351.75</v>
      </c>
      <c r="E394" s="242">
        <v>568506.1</v>
      </c>
      <c r="F394" s="242">
        <v>635851</v>
      </c>
      <c r="G394" s="242">
        <v>562266.16</v>
      </c>
      <c r="H394" s="242">
        <v>425303.75</v>
      </c>
      <c r="I394" s="242">
        <v>333463</v>
      </c>
      <c r="J394" s="242">
        <v>332107</v>
      </c>
      <c r="K394" s="242">
        <v>328378</v>
      </c>
      <c r="L394" s="242">
        <v>276595.75</v>
      </c>
      <c r="M394" s="242">
        <v>306706.3</v>
      </c>
      <c r="N394" s="242">
        <v>318490.5</v>
      </c>
      <c r="O394" s="242">
        <v>4946778.3099999996</v>
      </c>
    </row>
    <row r="395" spans="1:15" x14ac:dyDescent="0.25">
      <c r="A395" s="241" t="s">
        <v>946</v>
      </c>
      <c r="B395" s="241" t="s">
        <v>947</v>
      </c>
      <c r="C395" s="242">
        <v>178737.75</v>
      </c>
      <c r="D395" s="242">
        <v>217807.5</v>
      </c>
      <c r="E395" s="242">
        <v>189727</v>
      </c>
      <c r="F395" s="242">
        <v>218626.75</v>
      </c>
      <c r="G395" s="242">
        <v>263544.25</v>
      </c>
      <c r="H395" s="242">
        <v>236989.25</v>
      </c>
      <c r="I395" s="242">
        <v>244023.5</v>
      </c>
      <c r="J395" s="242">
        <v>213824.25</v>
      </c>
      <c r="K395" s="242">
        <v>245690.25</v>
      </c>
      <c r="L395" s="242">
        <v>220915</v>
      </c>
      <c r="M395" s="242">
        <v>209671.5</v>
      </c>
      <c r="N395" s="242">
        <v>225322</v>
      </c>
      <c r="O395" s="242">
        <v>2664879</v>
      </c>
    </row>
    <row r="396" spans="1:15" x14ac:dyDescent="0.25">
      <c r="A396" s="241" t="s">
        <v>948</v>
      </c>
      <c r="B396" s="241" t="s">
        <v>575</v>
      </c>
      <c r="C396" s="242">
        <v>168079.14</v>
      </c>
      <c r="D396" s="242">
        <v>184587.81</v>
      </c>
      <c r="E396" s="242">
        <v>153440.84</v>
      </c>
      <c r="F396" s="242">
        <v>18789.2</v>
      </c>
      <c r="G396" s="242">
        <v>150654.57</v>
      </c>
      <c r="H396" s="242">
        <v>118911.44</v>
      </c>
      <c r="I396" s="242">
        <v>155412.19</v>
      </c>
      <c r="J396" s="242">
        <v>157184.01</v>
      </c>
      <c r="K396" s="242">
        <v>160900.67000000001</v>
      </c>
      <c r="L396" s="242">
        <v>167196.69</v>
      </c>
      <c r="M396" s="242">
        <v>157935.82</v>
      </c>
      <c r="N396" s="242">
        <v>175417.87</v>
      </c>
      <c r="O396" s="242">
        <v>1768510.25</v>
      </c>
    </row>
    <row r="397" spans="1:15" x14ac:dyDescent="0.25">
      <c r="A397" s="241" t="s">
        <v>949</v>
      </c>
      <c r="B397" s="241" t="s">
        <v>950</v>
      </c>
      <c r="C397" s="242">
        <v>94064.19</v>
      </c>
      <c r="D397" s="242">
        <v>119343.5</v>
      </c>
      <c r="E397" s="242">
        <v>96561.59</v>
      </c>
      <c r="F397" s="242">
        <v>189636.28</v>
      </c>
      <c r="G397" s="242">
        <v>106713.85</v>
      </c>
      <c r="H397" s="242">
        <v>83176.52</v>
      </c>
      <c r="I397" s="242">
        <v>110620.63</v>
      </c>
      <c r="J397" s="242">
        <v>90325.07</v>
      </c>
      <c r="K397" s="242">
        <v>102192.07</v>
      </c>
      <c r="L397" s="242">
        <v>96689.3</v>
      </c>
      <c r="M397" s="242">
        <v>105175.53</v>
      </c>
      <c r="N397" s="242">
        <v>108804.28</v>
      </c>
      <c r="O397" s="242">
        <v>1303302.81</v>
      </c>
    </row>
    <row r="398" spans="1:15" x14ac:dyDescent="0.25">
      <c r="A398" s="241" t="s">
        <v>951</v>
      </c>
      <c r="B398" s="241" t="s">
        <v>952</v>
      </c>
      <c r="C398" s="242">
        <v>53126.99</v>
      </c>
      <c r="D398" s="242">
        <v>59916.46</v>
      </c>
      <c r="E398" s="242">
        <v>53088.21</v>
      </c>
      <c r="F398" s="242">
        <v>61276.9</v>
      </c>
      <c r="G398" s="242">
        <v>43844.56</v>
      </c>
      <c r="H398" s="242">
        <v>52868.74</v>
      </c>
      <c r="I398" s="242">
        <v>103633.26</v>
      </c>
      <c r="J398" s="242">
        <v>75476.009999999995</v>
      </c>
      <c r="K398" s="242">
        <v>73335.5</v>
      </c>
      <c r="L398" s="242">
        <v>62909.57</v>
      </c>
      <c r="M398" s="242">
        <v>89459.199999999997</v>
      </c>
      <c r="N398" s="242">
        <v>82657.820000000007</v>
      </c>
      <c r="O398" s="242">
        <v>811593.22</v>
      </c>
    </row>
    <row r="399" spans="1:15" x14ac:dyDescent="0.25">
      <c r="A399" s="241" t="s">
        <v>953</v>
      </c>
      <c r="B399" s="241" t="s">
        <v>954</v>
      </c>
      <c r="C399" s="242">
        <v>59213.5</v>
      </c>
      <c r="D399" s="242">
        <v>58667.72</v>
      </c>
      <c r="E399" s="242">
        <v>52266.23</v>
      </c>
      <c r="F399" s="242">
        <v>52498.34</v>
      </c>
      <c r="G399" s="242">
        <v>51287.12</v>
      </c>
      <c r="H399" s="242">
        <v>50470.16</v>
      </c>
      <c r="I399" s="242">
        <v>59073.54</v>
      </c>
      <c r="J399" s="242">
        <v>57684.95</v>
      </c>
      <c r="K399" s="242">
        <v>59739.07</v>
      </c>
      <c r="L399" s="242">
        <v>57710.19</v>
      </c>
      <c r="M399" s="242">
        <v>59526.3</v>
      </c>
      <c r="N399" s="242">
        <v>61639.77</v>
      </c>
      <c r="O399" s="242">
        <v>679776.89</v>
      </c>
    </row>
    <row r="400" spans="1:15" x14ac:dyDescent="0.25">
      <c r="A400" s="241" t="s">
        <v>955</v>
      </c>
      <c r="B400" s="241" t="s">
        <v>592</v>
      </c>
      <c r="C400" s="242">
        <v>140814.07</v>
      </c>
      <c r="D400" s="242">
        <v>144332.47</v>
      </c>
      <c r="E400" s="242">
        <v>135444.82</v>
      </c>
      <c r="F400" s="242">
        <v>135496.01999999999</v>
      </c>
      <c r="G400" s="242">
        <v>139231.6</v>
      </c>
      <c r="H400" s="242">
        <v>133307.24</v>
      </c>
      <c r="I400" s="242">
        <v>147682.43</v>
      </c>
      <c r="J400" s="242">
        <v>139187.10999999999</v>
      </c>
      <c r="K400" s="242">
        <v>157611.74</v>
      </c>
      <c r="L400" s="242">
        <v>148652.54999999999</v>
      </c>
      <c r="M400" s="242">
        <v>151333.68</v>
      </c>
      <c r="N400" s="242">
        <v>149656.81</v>
      </c>
      <c r="O400" s="242">
        <v>1722750.54</v>
      </c>
    </row>
    <row r="401" spans="1:15" x14ac:dyDescent="0.25">
      <c r="A401" s="241" t="s">
        <v>956</v>
      </c>
      <c r="B401" s="241" t="s">
        <v>957</v>
      </c>
      <c r="C401" s="242">
        <v>19371.580000000002</v>
      </c>
      <c r="D401" s="242">
        <v>22439.05</v>
      </c>
      <c r="E401" s="242">
        <v>15563.82</v>
      </c>
      <c r="F401" s="242">
        <v>19496.54</v>
      </c>
      <c r="G401" s="242">
        <v>17929.5</v>
      </c>
      <c r="H401" s="242">
        <v>20832.240000000002</v>
      </c>
      <c r="I401" s="242">
        <v>32558.81</v>
      </c>
      <c r="J401" s="242">
        <v>28486.68</v>
      </c>
      <c r="K401" s="242">
        <v>26365.87</v>
      </c>
      <c r="L401" s="242">
        <v>28968.14</v>
      </c>
      <c r="M401" s="242">
        <v>31247.05</v>
      </c>
      <c r="N401" s="242">
        <v>30591.33</v>
      </c>
      <c r="O401" s="242">
        <v>293850.61</v>
      </c>
    </row>
    <row r="402" spans="1:15" x14ac:dyDescent="0.25">
      <c r="A402" s="241" t="s">
        <v>958</v>
      </c>
      <c r="B402" s="241" t="s">
        <v>959</v>
      </c>
      <c r="C402" s="242">
        <v>39.5</v>
      </c>
      <c r="D402" s="242">
        <v>-9.82</v>
      </c>
      <c r="E402" s="243"/>
      <c r="F402" s="243"/>
      <c r="G402" s="243"/>
      <c r="H402" s="242">
        <v>11.12</v>
      </c>
      <c r="I402" s="243"/>
      <c r="J402" s="243"/>
      <c r="K402" s="243"/>
      <c r="L402" s="242">
        <v>59</v>
      </c>
      <c r="M402" s="243"/>
      <c r="N402" s="243"/>
      <c r="O402" s="242">
        <v>99.8</v>
      </c>
    </row>
    <row r="403" spans="1:15" x14ac:dyDescent="0.25">
      <c r="A403" s="241" t="s">
        <v>960</v>
      </c>
      <c r="B403" s="241" t="s">
        <v>961</v>
      </c>
      <c r="C403" s="242">
        <v>36372.160000000003</v>
      </c>
      <c r="D403" s="242">
        <v>35667.21</v>
      </c>
      <c r="E403" s="242">
        <v>33895.980000000003</v>
      </c>
      <c r="F403" s="242">
        <v>61106.2</v>
      </c>
      <c r="G403" s="242">
        <v>39963.410000000003</v>
      </c>
      <c r="H403" s="242">
        <v>39478.43</v>
      </c>
      <c r="I403" s="242">
        <v>39096.5</v>
      </c>
      <c r="J403" s="242">
        <v>38472.06</v>
      </c>
      <c r="K403" s="242">
        <v>30688.06</v>
      </c>
      <c r="L403" s="242">
        <v>15147.47</v>
      </c>
      <c r="M403" s="242">
        <v>48790.31</v>
      </c>
      <c r="N403" s="242">
        <v>34984.720000000001</v>
      </c>
      <c r="O403" s="242">
        <v>453662.51</v>
      </c>
    </row>
    <row r="404" spans="1:15" x14ac:dyDescent="0.25">
      <c r="A404" s="241" t="s">
        <v>962</v>
      </c>
      <c r="B404" s="241" t="s">
        <v>668</v>
      </c>
      <c r="C404" s="243"/>
      <c r="D404" s="243"/>
      <c r="E404" s="243"/>
      <c r="F404" s="242">
        <v>830</v>
      </c>
      <c r="G404" s="243"/>
      <c r="H404" s="243"/>
      <c r="I404" s="243"/>
      <c r="J404" s="243"/>
      <c r="K404" s="243"/>
      <c r="L404" s="243"/>
      <c r="M404" s="243"/>
      <c r="N404" s="243"/>
      <c r="O404" s="242">
        <v>830</v>
      </c>
    </row>
    <row r="405" spans="1:15" x14ac:dyDescent="0.25">
      <c r="A405" s="241" t="s">
        <v>963</v>
      </c>
      <c r="B405" s="241" t="s">
        <v>964</v>
      </c>
      <c r="C405" s="242">
        <v>95403.66</v>
      </c>
      <c r="D405" s="242">
        <v>85782.080000000002</v>
      </c>
      <c r="E405" s="242">
        <v>76898.55</v>
      </c>
      <c r="F405" s="242">
        <v>80088.600000000006</v>
      </c>
      <c r="G405" s="242">
        <v>78189.440000000002</v>
      </c>
      <c r="H405" s="242">
        <v>67724.47</v>
      </c>
      <c r="I405" s="242">
        <v>68862.289999999994</v>
      </c>
      <c r="J405" s="242">
        <v>68490.34</v>
      </c>
      <c r="K405" s="242">
        <v>90285.31</v>
      </c>
      <c r="L405" s="242">
        <v>68922.460000000006</v>
      </c>
      <c r="M405" s="242">
        <v>84205.440000000002</v>
      </c>
      <c r="N405" s="242">
        <v>85530.85</v>
      </c>
      <c r="O405" s="242">
        <v>950383.49</v>
      </c>
    </row>
    <row r="406" spans="1:15" x14ac:dyDescent="0.25">
      <c r="A406" s="241" t="s">
        <v>965</v>
      </c>
      <c r="B406" s="241" t="s">
        <v>861</v>
      </c>
      <c r="C406" s="242">
        <v>75779.149999999994</v>
      </c>
      <c r="D406" s="242">
        <v>70030.720000000001</v>
      </c>
      <c r="E406" s="242">
        <v>79952.7</v>
      </c>
      <c r="F406" s="242">
        <v>75016.11</v>
      </c>
      <c r="G406" s="242">
        <v>67360.39</v>
      </c>
      <c r="H406" s="242">
        <v>71999.179999999993</v>
      </c>
      <c r="I406" s="242">
        <v>71562.53</v>
      </c>
      <c r="J406" s="242">
        <v>88492.73</v>
      </c>
      <c r="K406" s="242">
        <v>74394.3</v>
      </c>
      <c r="L406" s="242">
        <v>81319.19</v>
      </c>
      <c r="M406" s="242">
        <v>66707.039999999994</v>
      </c>
      <c r="N406" s="242">
        <v>94667.56</v>
      </c>
      <c r="O406" s="242">
        <v>917281.6</v>
      </c>
    </row>
    <row r="407" spans="1:15" x14ac:dyDescent="0.25">
      <c r="A407" s="241" t="s">
        <v>1510</v>
      </c>
      <c r="B407" s="241" t="s">
        <v>1511</v>
      </c>
      <c r="C407" s="243"/>
      <c r="D407" s="243"/>
      <c r="E407" s="243"/>
      <c r="F407" s="242">
        <v>300</v>
      </c>
      <c r="G407" s="243"/>
      <c r="H407" s="243"/>
      <c r="I407" s="243"/>
      <c r="J407" s="243"/>
      <c r="K407" s="243"/>
      <c r="L407" s="243"/>
      <c r="M407" s="243"/>
      <c r="N407" s="243"/>
      <c r="O407" s="242">
        <v>300</v>
      </c>
    </row>
    <row r="408" spans="1:15" x14ac:dyDescent="0.25">
      <c r="A408" s="241" t="s">
        <v>1377</v>
      </c>
      <c r="B408" s="241" t="s">
        <v>865</v>
      </c>
      <c r="C408" s="243"/>
      <c r="D408" s="243"/>
      <c r="E408" s="242">
        <v>134.07</v>
      </c>
      <c r="F408" s="242">
        <v>270</v>
      </c>
      <c r="G408" s="243"/>
      <c r="H408" s="243"/>
      <c r="I408" s="243"/>
      <c r="J408" s="243"/>
      <c r="K408" s="243"/>
      <c r="L408" s="243"/>
      <c r="M408" s="243"/>
      <c r="N408" s="243"/>
      <c r="O408" s="242">
        <v>404.07</v>
      </c>
    </row>
    <row r="409" spans="1:15" x14ac:dyDescent="0.25">
      <c r="A409" s="241" t="s">
        <v>966</v>
      </c>
      <c r="B409" s="241" t="s">
        <v>867</v>
      </c>
      <c r="C409" s="242">
        <v>39561.910000000003</v>
      </c>
      <c r="D409" s="242">
        <v>43031.18</v>
      </c>
      <c r="E409" s="242">
        <v>28727.85</v>
      </c>
      <c r="F409" s="242">
        <v>32165.97</v>
      </c>
      <c r="G409" s="242">
        <v>22276.95</v>
      </c>
      <c r="H409" s="242">
        <v>31481.16</v>
      </c>
      <c r="I409" s="242">
        <v>30174.61</v>
      </c>
      <c r="J409" s="242">
        <v>36634.730000000003</v>
      </c>
      <c r="K409" s="242">
        <v>27696.86</v>
      </c>
      <c r="L409" s="242">
        <v>35099.800000000003</v>
      </c>
      <c r="M409" s="242">
        <v>31034.79</v>
      </c>
      <c r="N409" s="242">
        <v>28425.55</v>
      </c>
      <c r="O409" s="242">
        <v>386311.36</v>
      </c>
    </row>
    <row r="410" spans="1:15" x14ac:dyDescent="0.25">
      <c r="A410" s="241" t="s">
        <v>967</v>
      </c>
      <c r="B410" s="241" t="s">
        <v>591</v>
      </c>
      <c r="C410" s="242">
        <v>95152.2</v>
      </c>
      <c r="D410" s="242">
        <v>82103.94</v>
      </c>
      <c r="E410" s="242">
        <v>105362.28</v>
      </c>
      <c r="F410" s="242">
        <v>100993.5</v>
      </c>
      <c r="G410" s="242">
        <v>78207.88</v>
      </c>
      <c r="H410" s="242">
        <v>61307.69</v>
      </c>
      <c r="I410" s="242">
        <v>75405.72</v>
      </c>
      <c r="J410" s="242">
        <v>81651.929999999993</v>
      </c>
      <c r="K410" s="242">
        <v>56031.83</v>
      </c>
      <c r="L410" s="242">
        <v>86488.22</v>
      </c>
      <c r="M410" s="242">
        <v>75999.679999999993</v>
      </c>
      <c r="N410" s="242">
        <v>86160.78</v>
      </c>
      <c r="O410" s="242">
        <v>984865.65</v>
      </c>
    </row>
    <row r="411" spans="1:15" x14ac:dyDescent="0.25">
      <c r="A411" s="241" t="s">
        <v>968</v>
      </c>
      <c r="B411" s="241" t="s">
        <v>869</v>
      </c>
      <c r="C411" s="243"/>
      <c r="D411" s="242">
        <v>90</v>
      </c>
      <c r="E411" s="243"/>
      <c r="F411" s="243"/>
      <c r="G411" s="243"/>
      <c r="H411" s="243"/>
      <c r="I411" s="242">
        <v>161.07</v>
      </c>
      <c r="J411" s="243"/>
      <c r="K411" s="243"/>
      <c r="L411" s="243"/>
      <c r="M411" s="243"/>
      <c r="N411" s="243"/>
      <c r="O411" s="242">
        <v>251.07</v>
      </c>
    </row>
    <row r="412" spans="1:15" x14ac:dyDescent="0.25">
      <c r="A412" s="241" t="s">
        <v>1430</v>
      </c>
      <c r="B412" s="241" t="s">
        <v>1417</v>
      </c>
      <c r="C412" s="244">
        <v>77896.710000000006</v>
      </c>
      <c r="D412" s="244">
        <v>261839.16</v>
      </c>
      <c r="E412" s="244">
        <v>183120.62</v>
      </c>
      <c r="F412" s="244">
        <v>845148.43</v>
      </c>
      <c r="G412" s="244">
        <v>19734.939999999999</v>
      </c>
      <c r="H412" s="244">
        <v>48944.02</v>
      </c>
      <c r="I412" s="244">
        <v>24159.439999999999</v>
      </c>
      <c r="J412" s="244">
        <v>50945.86</v>
      </c>
      <c r="K412" s="244">
        <v>33134.44</v>
      </c>
      <c r="L412" s="244">
        <v>38364.19</v>
      </c>
      <c r="M412" s="244">
        <v>95696.53</v>
      </c>
      <c r="N412" s="244">
        <v>72472.399999999994</v>
      </c>
      <c r="O412" s="244">
        <v>1751456.74</v>
      </c>
    </row>
    <row r="413" spans="1:15" x14ac:dyDescent="0.25">
      <c r="A413" s="239"/>
      <c r="B413" s="239" t="s">
        <v>969</v>
      </c>
      <c r="C413" s="245">
        <v>1650254.46</v>
      </c>
      <c r="D413" s="245">
        <v>2001967.36</v>
      </c>
      <c r="E413" s="245">
        <v>1911500.66</v>
      </c>
      <c r="F413" s="245">
        <v>2658001.34</v>
      </c>
      <c r="G413" s="245">
        <v>1777491.49</v>
      </c>
      <c r="H413" s="245">
        <v>1560973.52</v>
      </c>
      <c r="I413" s="245">
        <v>1633383.16</v>
      </c>
      <c r="J413" s="245">
        <v>1609574.74</v>
      </c>
      <c r="K413" s="245">
        <v>1605236.39</v>
      </c>
      <c r="L413" s="245">
        <v>1506730.88</v>
      </c>
      <c r="M413" s="245">
        <v>1648942.67</v>
      </c>
      <c r="N413" s="245">
        <v>1684765.87</v>
      </c>
      <c r="O413" s="245">
        <v>21248822.539999999</v>
      </c>
    </row>
    <row r="414" spans="1:15" x14ac:dyDescent="0.25">
      <c r="A414" s="235"/>
      <c r="B414" s="235"/>
      <c r="C414" s="236"/>
      <c r="D414" s="236"/>
      <c r="E414" s="236"/>
      <c r="F414" s="236"/>
      <c r="G414" s="236"/>
      <c r="H414" s="236"/>
      <c r="I414" s="236"/>
      <c r="J414" s="236"/>
      <c r="K414" s="236"/>
      <c r="L414" s="236"/>
      <c r="M414" s="236"/>
      <c r="N414" s="236"/>
      <c r="O414" s="236"/>
    </row>
    <row r="415" spans="1:15" x14ac:dyDescent="0.25">
      <c r="A415" s="239"/>
      <c r="B415" s="239" t="s">
        <v>970</v>
      </c>
      <c r="C415" s="240"/>
      <c r="D415" s="240"/>
      <c r="E415" s="240"/>
      <c r="F415" s="240"/>
      <c r="G415" s="240"/>
      <c r="H415" s="240"/>
      <c r="I415" s="240"/>
      <c r="J415" s="240"/>
      <c r="K415" s="240"/>
      <c r="L415" s="240"/>
      <c r="M415" s="240"/>
      <c r="N415" s="240"/>
      <c r="O415" s="240"/>
    </row>
    <row r="416" spans="1:15" x14ac:dyDescent="0.25">
      <c r="A416" s="241" t="s">
        <v>971</v>
      </c>
      <c r="B416" s="241" t="s">
        <v>855</v>
      </c>
      <c r="C416" s="242">
        <v>6634.75</v>
      </c>
      <c r="D416" s="242">
        <v>3759.37</v>
      </c>
      <c r="E416" s="242">
        <v>6299.15</v>
      </c>
      <c r="F416" s="242">
        <v>8142.75</v>
      </c>
      <c r="G416" s="242">
        <v>4842.7</v>
      </c>
      <c r="H416" s="242">
        <v>3577.66</v>
      </c>
      <c r="I416" s="242">
        <v>5624.03</v>
      </c>
      <c r="J416" s="242">
        <v>100</v>
      </c>
      <c r="K416" s="242">
        <v>6324.62</v>
      </c>
      <c r="L416" s="242">
        <v>7479.55</v>
      </c>
      <c r="M416" s="242">
        <v>5265.75</v>
      </c>
      <c r="N416" s="242">
        <v>5239.2700000000004</v>
      </c>
      <c r="O416" s="242">
        <v>63289.599999999999</v>
      </c>
    </row>
    <row r="417" spans="1:15" x14ac:dyDescent="0.25">
      <c r="A417" s="241" t="s">
        <v>972</v>
      </c>
      <c r="B417" s="241" t="s">
        <v>973</v>
      </c>
      <c r="C417" s="242">
        <v>63926.23</v>
      </c>
      <c r="D417" s="242">
        <v>51165.75</v>
      </c>
      <c r="E417" s="242">
        <v>71040.289999999994</v>
      </c>
      <c r="F417" s="242">
        <v>63186.57</v>
      </c>
      <c r="G417" s="242">
        <v>77152.98</v>
      </c>
      <c r="H417" s="242">
        <v>49716.74</v>
      </c>
      <c r="I417" s="242">
        <v>62760.29</v>
      </c>
      <c r="J417" s="242">
        <v>73856.33</v>
      </c>
      <c r="K417" s="242">
        <v>61953.120000000003</v>
      </c>
      <c r="L417" s="242">
        <v>54784.480000000003</v>
      </c>
      <c r="M417" s="242">
        <v>76837.25</v>
      </c>
      <c r="N417" s="242">
        <v>76207.820000000007</v>
      </c>
      <c r="O417" s="242">
        <v>782587.85</v>
      </c>
    </row>
    <row r="418" spans="1:15" x14ac:dyDescent="0.25">
      <c r="A418" s="241" t="s">
        <v>974</v>
      </c>
      <c r="B418" s="241" t="s">
        <v>975</v>
      </c>
      <c r="C418" s="242">
        <v>25579.13</v>
      </c>
      <c r="D418" s="242">
        <v>32096.26</v>
      </c>
      <c r="E418" s="242">
        <v>16574.96</v>
      </c>
      <c r="F418" s="242">
        <v>31219.79</v>
      </c>
      <c r="G418" s="242">
        <v>18088.75</v>
      </c>
      <c r="H418" s="242">
        <v>25977.11</v>
      </c>
      <c r="I418" s="242">
        <v>28842.91</v>
      </c>
      <c r="J418" s="242">
        <v>33853.74</v>
      </c>
      <c r="K418" s="242">
        <v>22113.02</v>
      </c>
      <c r="L418" s="242">
        <v>30114.12</v>
      </c>
      <c r="M418" s="242">
        <v>24821.56</v>
      </c>
      <c r="N418" s="242">
        <v>33902.730000000003</v>
      </c>
      <c r="O418" s="242">
        <v>323184.08</v>
      </c>
    </row>
    <row r="419" spans="1:15" x14ac:dyDescent="0.25">
      <c r="A419" s="241" t="s">
        <v>976</v>
      </c>
      <c r="B419" s="241" t="s">
        <v>977</v>
      </c>
      <c r="C419" s="242">
        <v>41211.24</v>
      </c>
      <c r="D419" s="242">
        <v>40487.370000000003</v>
      </c>
      <c r="E419" s="242">
        <v>37693.19</v>
      </c>
      <c r="F419" s="242">
        <v>40871.31</v>
      </c>
      <c r="G419" s="242">
        <v>44117.11</v>
      </c>
      <c r="H419" s="242">
        <v>37627.26</v>
      </c>
      <c r="I419" s="242">
        <v>32882.97</v>
      </c>
      <c r="J419" s="242">
        <v>36013.89</v>
      </c>
      <c r="K419" s="242">
        <v>33317.99</v>
      </c>
      <c r="L419" s="242">
        <v>34457.300000000003</v>
      </c>
      <c r="M419" s="242">
        <v>31948.93</v>
      </c>
      <c r="N419" s="242">
        <v>35344.230000000003</v>
      </c>
      <c r="O419" s="242">
        <v>445972.79</v>
      </c>
    </row>
    <row r="420" spans="1:15" x14ac:dyDescent="0.25">
      <c r="A420" s="241" t="s">
        <v>978</v>
      </c>
      <c r="B420" s="241" t="s">
        <v>599</v>
      </c>
      <c r="C420" s="242">
        <v>49774.75</v>
      </c>
      <c r="D420" s="242">
        <v>52100.22</v>
      </c>
      <c r="E420" s="242">
        <v>46678.5</v>
      </c>
      <c r="F420" s="242">
        <v>33206.400000000001</v>
      </c>
      <c r="G420" s="242">
        <v>71088.95</v>
      </c>
      <c r="H420" s="242">
        <v>41704.15</v>
      </c>
      <c r="I420" s="242">
        <v>48008.68</v>
      </c>
      <c r="J420" s="242">
        <v>38132.36</v>
      </c>
      <c r="K420" s="242">
        <v>46680.28</v>
      </c>
      <c r="L420" s="242">
        <v>48717.78</v>
      </c>
      <c r="M420" s="242">
        <v>40389.599999999999</v>
      </c>
      <c r="N420" s="242">
        <v>55424.31</v>
      </c>
      <c r="O420" s="242">
        <v>571905.98</v>
      </c>
    </row>
    <row r="421" spans="1:15" x14ac:dyDescent="0.25">
      <c r="A421" s="241" t="s">
        <v>979</v>
      </c>
      <c r="B421" s="241" t="s">
        <v>617</v>
      </c>
      <c r="C421" s="242">
        <v>69909.34</v>
      </c>
      <c r="D421" s="242">
        <v>79112.13</v>
      </c>
      <c r="E421" s="242">
        <v>80749.100000000006</v>
      </c>
      <c r="F421" s="242">
        <v>198867.39</v>
      </c>
      <c r="G421" s="242">
        <v>66719.17</v>
      </c>
      <c r="H421" s="242">
        <v>77822.240000000005</v>
      </c>
      <c r="I421" s="242">
        <v>156012.85</v>
      </c>
      <c r="J421" s="242">
        <v>131621.07</v>
      </c>
      <c r="K421" s="242">
        <v>94207.72</v>
      </c>
      <c r="L421" s="242">
        <v>73788.649999999994</v>
      </c>
      <c r="M421" s="242">
        <v>121984.75</v>
      </c>
      <c r="N421" s="242">
        <v>120038.66</v>
      </c>
      <c r="O421" s="242">
        <v>1270833.07</v>
      </c>
    </row>
    <row r="422" spans="1:15" x14ac:dyDescent="0.25">
      <c r="A422" s="241" t="s">
        <v>980</v>
      </c>
      <c r="B422" s="241" t="s">
        <v>981</v>
      </c>
      <c r="C422" s="242">
        <v>7866.59</v>
      </c>
      <c r="D422" s="242">
        <v>18522.52</v>
      </c>
      <c r="E422" s="242">
        <v>22530.97</v>
      </c>
      <c r="F422" s="242">
        <v>8623.82</v>
      </c>
      <c r="G422" s="242">
        <v>40912.449999999997</v>
      </c>
      <c r="H422" s="242">
        <v>15675.2</v>
      </c>
      <c r="I422" s="242">
        <v>26867.61</v>
      </c>
      <c r="J422" s="242">
        <v>-2085.3200000000002</v>
      </c>
      <c r="K422" s="242">
        <v>21150.98</v>
      </c>
      <c r="L422" s="242">
        <v>6090.73</v>
      </c>
      <c r="M422" s="242">
        <v>24461.89</v>
      </c>
      <c r="N422" s="242">
        <v>2872.19</v>
      </c>
      <c r="O422" s="242">
        <v>193489.63</v>
      </c>
    </row>
    <row r="423" spans="1:15" x14ac:dyDescent="0.25">
      <c r="A423" s="241" t="s">
        <v>982</v>
      </c>
      <c r="B423" s="241" t="s">
        <v>861</v>
      </c>
      <c r="C423" s="243"/>
      <c r="D423" s="243"/>
      <c r="E423" s="243"/>
      <c r="F423" s="242">
        <v>53</v>
      </c>
      <c r="G423" s="243"/>
      <c r="H423" s="243"/>
      <c r="I423" s="243"/>
      <c r="J423" s="243"/>
      <c r="K423" s="243"/>
      <c r="L423" s="242">
        <v>676</v>
      </c>
      <c r="M423" s="242">
        <v>1084.6500000000001</v>
      </c>
      <c r="N423" s="243"/>
      <c r="O423" s="242">
        <v>1813.65</v>
      </c>
    </row>
    <row r="424" spans="1:15" x14ac:dyDescent="0.25">
      <c r="A424" s="241" t="s">
        <v>1613</v>
      </c>
      <c r="B424" s="241" t="s">
        <v>865</v>
      </c>
      <c r="C424" s="243"/>
      <c r="D424" s="243"/>
      <c r="E424" s="243"/>
      <c r="F424" s="243"/>
      <c r="G424" s="243"/>
      <c r="H424" s="243"/>
      <c r="I424" s="243"/>
      <c r="J424" s="243"/>
      <c r="K424" s="242">
        <v>143</v>
      </c>
      <c r="L424" s="243"/>
      <c r="M424" s="243"/>
      <c r="N424" s="243"/>
      <c r="O424" s="242">
        <v>143</v>
      </c>
    </row>
    <row r="425" spans="1:15" x14ac:dyDescent="0.25">
      <c r="A425" s="241" t="s">
        <v>983</v>
      </c>
      <c r="B425" s="241" t="s">
        <v>867</v>
      </c>
      <c r="C425" s="242">
        <v>-793.39</v>
      </c>
      <c r="D425" s="242">
        <v>85.89</v>
      </c>
      <c r="E425" s="243"/>
      <c r="F425" s="243"/>
      <c r="G425" s="243"/>
      <c r="H425" s="243"/>
      <c r="I425" s="243"/>
      <c r="J425" s="243"/>
      <c r="K425" s="243"/>
      <c r="L425" s="243"/>
      <c r="M425" s="243"/>
      <c r="N425" s="243"/>
      <c r="O425" s="242">
        <v>-707.5</v>
      </c>
    </row>
    <row r="426" spans="1:15" x14ac:dyDescent="0.25">
      <c r="A426" s="241" t="s">
        <v>984</v>
      </c>
      <c r="B426" s="241" t="s">
        <v>591</v>
      </c>
      <c r="C426" s="243"/>
      <c r="D426" s="242">
        <v>-658.89</v>
      </c>
      <c r="E426" s="243"/>
      <c r="F426" s="243"/>
      <c r="G426" s="242">
        <v>1615.86</v>
      </c>
      <c r="H426" s="242">
        <v>8443.2000000000007</v>
      </c>
      <c r="I426" s="242">
        <v>-2835.12</v>
      </c>
      <c r="J426" s="242">
        <v>2701.65</v>
      </c>
      <c r="K426" s="242">
        <v>9711.7099999999991</v>
      </c>
      <c r="L426" s="242">
        <v>5249.74</v>
      </c>
      <c r="M426" s="242">
        <v>4018.09</v>
      </c>
      <c r="N426" s="242">
        <v>6257.41</v>
      </c>
      <c r="O426" s="242">
        <v>34503.65</v>
      </c>
    </row>
    <row r="427" spans="1:15" x14ac:dyDescent="0.25">
      <c r="A427" s="241" t="s">
        <v>985</v>
      </c>
      <c r="B427" s="241" t="s">
        <v>869</v>
      </c>
      <c r="C427" s="243"/>
      <c r="D427" s="243"/>
      <c r="E427" s="243"/>
      <c r="F427" s="243"/>
      <c r="G427" s="243"/>
      <c r="H427" s="243"/>
      <c r="I427" s="242">
        <v>178</v>
      </c>
      <c r="J427" s="242">
        <v>296.35000000000002</v>
      </c>
      <c r="K427" s="242">
        <v>355.88</v>
      </c>
      <c r="L427" s="242">
        <v>675</v>
      </c>
      <c r="M427" s="242">
        <v>717.06</v>
      </c>
      <c r="N427" s="242">
        <v>306</v>
      </c>
      <c r="O427" s="242">
        <v>2528.29</v>
      </c>
    </row>
    <row r="428" spans="1:15" x14ac:dyDescent="0.25">
      <c r="A428" s="241" t="s">
        <v>1431</v>
      </c>
      <c r="B428" s="241" t="s">
        <v>1417</v>
      </c>
      <c r="C428" s="242">
        <v>262.52999999999997</v>
      </c>
      <c r="D428" s="242">
        <v>975.42</v>
      </c>
      <c r="E428" s="243"/>
      <c r="F428" s="242">
        <v>715.98</v>
      </c>
      <c r="G428" s="243"/>
      <c r="H428" s="243"/>
      <c r="I428" s="242">
        <v>561.57000000000005</v>
      </c>
      <c r="J428" s="242">
        <v>1007.72</v>
      </c>
      <c r="K428" s="243"/>
      <c r="L428" s="243"/>
      <c r="M428" s="243"/>
      <c r="N428" s="243"/>
      <c r="O428" s="242">
        <v>3523.22</v>
      </c>
    </row>
    <row r="429" spans="1:15" x14ac:dyDescent="0.25">
      <c r="A429" s="241" t="s">
        <v>1477</v>
      </c>
      <c r="B429" s="241" t="s">
        <v>1478</v>
      </c>
      <c r="C429" s="244">
        <v>-2790.32</v>
      </c>
      <c r="D429" s="244">
        <v>108886.25</v>
      </c>
      <c r="E429" s="244">
        <v>90783.4</v>
      </c>
      <c r="F429" s="244">
        <v>134059</v>
      </c>
      <c r="G429" s="244">
        <v>39589</v>
      </c>
      <c r="H429" s="244">
        <v>85419.76</v>
      </c>
      <c r="I429" s="244">
        <v>92746.12</v>
      </c>
      <c r="J429" s="244">
        <v>27165</v>
      </c>
      <c r="K429" s="244">
        <v>55505</v>
      </c>
      <c r="L429" s="244">
        <v>6740</v>
      </c>
      <c r="M429" s="244">
        <v>41185</v>
      </c>
      <c r="N429" s="244">
        <v>77795</v>
      </c>
      <c r="O429" s="244">
        <v>757083.21</v>
      </c>
    </row>
    <row r="430" spans="1:15" x14ac:dyDescent="0.25">
      <c r="A430" s="239"/>
      <c r="B430" s="239" t="s">
        <v>986</v>
      </c>
      <c r="C430" s="245">
        <v>261580.85</v>
      </c>
      <c r="D430" s="245">
        <v>386532.29</v>
      </c>
      <c r="E430" s="245">
        <v>372349.56</v>
      </c>
      <c r="F430" s="245">
        <v>518946.01</v>
      </c>
      <c r="G430" s="245">
        <v>364126.97</v>
      </c>
      <c r="H430" s="245">
        <v>345963.32</v>
      </c>
      <c r="I430" s="245">
        <v>451649.91</v>
      </c>
      <c r="J430" s="245">
        <v>342662.79</v>
      </c>
      <c r="K430" s="245">
        <v>351463.32</v>
      </c>
      <c r="L430" s="245">
        <v>268773.34999999998</v>
      </c>
      <c r="M430" s="245">
        <v>372714.53</v>
      </c>
      <c r="N430" s="245">
        <v>413387.62</v>
      </c>
      <c r="O430" s="245">
        <v>4450150.5199999996</v>
      </c>
    </row>
    <row r="431" spans="1:15" x14ac:dyDescent="0.25">
      <c r="A431" s="235"/>
      <c r="B431" s="235"/>
      <c r="C431" s="236"/>
      <c r="D431" s="236"/>
      <c r="E431" s="236"/>
      <c r="F431" s="236"/>
      <c r="G431" s="236"/>
      <c r="H431" s="236"/>
      <c r="I431" s="236"/>
      <c r="J431" s="236"/>
      <c r="K431" s="236"/>
      <c r="L431" s="236"/>
      <c r="M431" s="236"/>
      <c r="N431" s="236"/>
      <c r="O431" s="236"/>
    </row>
    <row r="432" spans="1:15" x14ac:dyDescent="0.25">
      <c r="A432" s="239"/>
      <c r="B432" s="239" t="s">
        <v>987</v>
      </c>
      <c r="C432" s="240"/>
      <c r="D432" s="240"/>
      <c r="E432" s="240"/>
      <c r="F432" s="240"/>
      <c r="G432" s="240"/>
      <c r="H432" s="240"/>
      <c r="I432" s="240"/>
      <c r="J432" s="240"/>
      <c r="K432" s="240"/>
      <c r="L432" s="240"/>
      <c r="M432" s="240"/>
      <c r="N432" s="240"/>
      <c r="O432" s="240"/>
    </row>
    <row r="433" spans="1:15" x14ac:dyDescent="0.25">
      <c r="A433" s="241" t="s">
        <v>988</v>
      </c>
      <c r="B433" s="241" t="s">
        <v>937</v>
      </c>
      <c r="C433" s="242">
        <v>109778.69</v>
      </c>
      <c r="D433" s="242">
        <v>117497.02</v>
      </c>
      <c r="E433" s="242">
        <v>100828.45</v>
      </c>
      <c r="F433" s="242">
        <v>110193.54</v>
      </c>
      <c r="G433" s="242">
        <v>104665.57</v>
      </c>
      <c r="H433" s="242">
        <v>114723.97</v>
      </c>
      <c r="I433" s="242">
        <v>119889.67</v>
      </c>
      <c r="J433" s="242">
        <v>120536.91</v>
      </c>
      <c r="K433" s="242">
        <v>128686.99</v>
      </c>
      <c r="L433" s="242">
        <v>117880.44</v>
      </c>
      <c r="M433" s="242">
        <v>123585.27</v>
      </c>
      <c r="N433" s="242">
        <v>111325.34</v>
      </c>
      <c r="O433" s="242">
        <v>1379591.86</v>
      </c>
    </row>
    <row r="434" spans="1:15" x14ac:dyDescent="0.25">
      <c r="A434" s="241" t="s">
        <v>989</v>
      </c>
      <c r="B434" s="241" t="s">
        <v>847</v>
      </c>
      <c r="C434" s="242">
        <v>1700</v>
      </c>
      <c r="D434" s="242">
        <v>1385</v>
      </c>
      <c r="E434" s="242">
        <v>865</v>
      </c>
      <c r="F434" s="242">
        <v>712.5</v>
      </c>
      <c r="G434" s="242">
        <v>1012.5</v>
      </c>
      <c r="H434" s="242">
        <v>1475</v>
      </c>
      <c r="I434" s="242">
        <v>3583</v>
      </c>
      <c r="J434" s="242">
        <v>1333</v>
      </c>
      <c r="K434" s="242">
        <v>874.92</v>
      </c>
      <c r="L434" s="242">
        <v>2238.33</v>
      </c>
      <c r="M434" s="242">
        <v>3512.68</v>
      </c>
      <c r="N434" s="242">
        <v>2852</v>
      </c>
      <c r="O434" s="242">
        <v>21543.93</v>
      </c>
    </row>
    <row r="435" spans="1:15" x14ac:dyDescent="0.25">
      <c r="A435" s="241" t="s">
        <v>1590</v>
      </c>
      <c r="B435" s="241" t="s">
        <v>848</v>
      </c>
      <c r="C435" s="243"/>
      <c r="D435" s="243"/>
      <c r="E435" s="243"/>
      <c r="F435" s="243"/>
      <c r="G435" s="243"/>
      <c r="H435" s="243"/>
      <c r="I435" s="242">
        <v>108</v>
      </c>
      <c r="J435" s="243"/>
      <c r="K435" s="243"/>
      <c r="L435" s="243"/>
      <c r="M435" s="243"/>
      <c r="N435" s="243"/>
      <c r="O435" s="242">
        <v>108</v>
      </c>
    </row>
    <row r="436" spans="1:15" x14ac:dyDescent="0.25">
      <c r="A436" s="241" t="s">
        <v>990</v>
      </c>
      <c r="B436" s="241" t="s">
        <v>850</v>
      </c>
      <c r="C436" s="242">
        <v>8599.59</v>
      </c>
      <c r="D436" s="242">
        <v>16276.77</v>
      </c>
      <c r="E436" s="242">
        <v>6989.6</v>
      </c>
      <c r="F436" s="242">
        <v>12828.22</v>
      </c>
      <c r="G436" s="242">
        <v>6773.9</v>
      </c>
      <c r="H436" s="242">
        <v>9005.85</v>
      </c>
      <c r="I436" s="242">
        <v>9712.49</v>
      </c>
      <c r="J436" s="242">
        <v>11279.24</v>
      </c>
      <c r="K436" s="242">
        <v>9689.4599999999991</v>
      </c>
      <c r="L436" s="242">
        <v>12045.85</v>
      </c>
      <c r="M436" s="242">
        <v>14986.73</v>
      </c>
      <c r="N436" s="242">
        <v>11430.52</v>
      </c>
      <c r="O436" s="242">
        <v>129618.22</v>
      </c>
    </row>
    <row r="437" spans="1:15" x14ac:dyDescent="0.25">
      <c r="A437" s="241" t="s">
        <v>991</v>
      </c>
      <c r="B437" s="241" t="s">
        <v>852</v>
      </c>
      <c r="C437" s="242">
        <v>12209.61</v>
      </c>
      <c r="D437" s="242">
        <v>9188.35</v>
      </c>
      <c r="E437" s="242">
        <v>8129.02</v>
      </c>
      <c r="F437" s="242">
        <v>16652.18</v>
      </c>
      <c r="G437" s="242">
        <v>7971.05</v>
      </c>
      <c r="H437" s="242">
        <v>2083.4499999999998</v>
      </c>
      <c r="I437" s="242">
        <v>5472.36</v>
      </c>
      <c r="J437" s="242">
        <v>6023.12</v>
      </c>
      <c r="K437" s="242">
        <v>5578.05</v>
      </c>
      <c r="L437" s="242">
        <v>11900.88</v>
      </c>
      <c r="M437" s="242">
        <v>9251.36</v>
      </c>
      <c r="N437" s="242">
        <v>11879.7</v>
      </c>
      <c r="O437" s="242">
        <v>106339.13</v>
      </c>
    </row>
    <row r="438" spans="1:15" x14ac:dyDescent="0.25">
      <c r="A438" s="241" t="s">
        <v>992</v>
      </c>
      <c r="B438" s="241" t="s">
        <v>825</v>
      </c>
      <c r="C438" s="242">
        <v>9546.32</v>
      </c>
      <c r="D438" s="242">
        <v>10357.06</v>
      </c>
      <c r="E438" s="242">
        <v>8804.68</v>
      </c>
      <c r="F438" s="242">
        <v>11297.27</v>
      </c>
      <c r="G438" s="242">
        <v>9821.75</v>
      </c>
      <c r="H438" s="242">
        <v>9804.41</v>
      </c>
      <c r="I438" s="242">
        <v>16569.3</v>
      </c>
      <c r="J438" s="242">
        <v>8915.27</v>
      </c>
      <c r="K438" s="242">
        <v>9909.8700000000008</v>
      </c>
      <c r="L438" s="242">
        <v>11090.27</v>
      </c>
      <c r="M438" s="242">
        <v>11008.14</v>
      </c>
      <c r="N438" s="242">
        <v>10017.41</v>
      </c>
      <c r="O438" s="242">
        <v>127141.75</v>
      </c>
    </row>
    <row r="439" spans="1:15" x14ac:dyDescent="0.25">
      <c r="A439" s="241" t="s">
        <v>993</v>
      </c>
      <c r="B439" s="241" t="s">
        <v>923</v>
      </c>
      <c r="C439" s="243"/>
      <c r="D439" s="243"/>
      <c r="E439" s="243"/>
      <c r="F439" s="242">
        <v>133.07</v>
      </c>
      <c r="G439" s="242">
        <v>215.44</v>
      </c>
      <c r="H439" s="242">
        <v>15.89</v>
      </c>
      <c r="I439" s="242">
        <v>133.19</v>
      </c>
      <c r="J439" s="243"/>
      <c r="K439" s="242">
        <v>71.33</v>
      </c>
      <c r="L439" s="243"/>
      <c r="M439" s="243"/>
      <c r="N439" s="242">
        <v>123.1</v>
      </c>
      <c r="O439" s="242">
        <v>692.02</v>
      </c>
    </row>
    <row r="440" spans="1:15" x14ac:dyDescent="0.25">
      <c r="A440" s="241" t="s">
        <v>1525</v>
      </c>
      <c r="B440" s="241" t="s">
        <v>867</v>
      </c>
      <c r="C440" s="243"/>
      <c r="D440" s="243"/>
      <c r="E440" s="243"/>
      <c r="F440" s="243"/>
      <c r="G440" s="242">
        <v>67.83</v>
      </c>
      <c r="H440" s="243"/>
      <c r="I440" s="243"/>
      <c r="J440" s="243"/>
      <c r="K440" s="243"/>
      <c r="L440" s="242">
        <v>156.88</v>
      </c>
      <c r="M440" s="243"/>
      <c r="N440" s="243"/>
      <c r="O440" s="242">
        <v>224.71</v>
      </c>
    </row>
    <row r="441" spans="1:15" x14ac:dyDescent="0.25">
      <c r="A441" s="241" t="s">
        <v>1432</v>
      </c>
      <c r="B441" s="241" t="s">
        <v>1417</v>
      </c>
      <c r="C441" s="242">
        <v>43.18</v>
      </c>
      <c r="D441" s="242">
        <v>441.54</v>
      </c>
      <c r="E441" s="242">
        <v>5898.36</v>
      </c>
      <c r="F441" s="242">
        <v>7901.06</v>
      </c>
      <c r="G441" s="242">
        <v>1377.92</v>
      </c>
      <c r="H441" s="242">
        <v>-275.97000000000003</v>
      </c>
      <c r="I441" s="242">
        <v>2278.11</v>
      </c>
      <c r="J441" s="242">
        <v>-632.79</v>
      </c>
      <c r="K441" s="242">
        <v>156.19</v>
      </c>
      <c r="L441" s="242">
        <v>-60.64</v>
      </c>
      <c r="M441" s="242">
        <v>1.63</v>
      </c>
      <c r="N441" s="242">
        <v>5.18</v>
      </c>
      <c r="O441" s="242">
        <v>17133.77</v>
      </c>
    </row>
    <row r="442" spans="1:15" x14ac:dyDescent="0.25">
      <c r="A442" s="241" t="s">
        <v>1526</v>
      </c>
      <c r="B442" s="241" t="s">
        <v>877</v>
      </c>
      <c r="C442" s="243"/>
      <c r="D442" s="243"/>
      <c r="E442" s="243"/>
      <c r="F442" s="243"/>
      <c r="G442" s="242">
        <v>250</v>
      </c>
      <c r="H442" s="243"/>
      <c r="I442" s="243"/>
      <c r="J442" s="243"/>
      <c r="K442" s="242">
        <v>1000</v>
      </c>
      <c r="L442" s="243"/>
      <c r="M442" s="243"/>
      <c r="N442" s="243"/>
      <c r="O442" s="242">
        <v>1250</v>
      </c>
    </row>
    <row r="443" spans="1:15" x14ac:dyDescent="0.25">
      <c r="A443" s="241" t="s">
        <v>1568</v>
      </c>
      <c r="B443" s="241" t="s">
        <v>890</v>
      </c>
      <c r="C443" s="246"/>
      <c r="D443" s="246"/>
      <c r="E443" s="246"/>
      <c r="F443" s="246"/>
      <c r="G443" s="246"/>
      <c r="H443" s="244">
        <v>105.3</v>
      </c>
      <c r="I443" s="246"/>
      <c r="J443" s="246"/>
      <c r="K443" s="246"/>
      <c r="L443" s="246"/>
      <c r="M443" s="246"/>
      <c r="N443" s="246"/>
      <c r="O443" s="244">
        <v>105.3</v>
      </c>
    </row>
    <row r="444" spans="1:15" x14ac:dyDescent="0.25">
      <c r="A444" s="239"/>
      <c r="B444" s="239" t="s">
        <v>994</v>
      </c>
      <c r="C444" s="245">
        <v>141877.39000000001</v>
      </c>
      <c r="D444" s="245">
        <v>155145.74</v>
      </c>
      <c r="E444" s="245">
        <v>131515.10999999999</v>
      </c>
      <c r="F444" s="245">
        <v>159717.84</v>
      </c>
      <c r="G444" s="245">
        <v>132155.96</v>
      </c>
      <c r="H444" s="245">
        <v>136937.9</v>
      </c>
      <c r="I444" s="245">
        <v>157746.12</v>
      </c>
      <c r="J444" s="245">
        <v>147454.75</v>
      </c>
      <c r="K444" s="245">
        <v>155966.81</v>
      </c>
      <c r="L444" s="245">
        <v>155252.01</v>
      </c>
      <c r="M444" s="245">
        <v>162345.81</v>
      </c>
      <c r="N444" s="245">
        <v>147633.25</v>
      </c>
      <c r="O444" s="245">
        <v>1783748.69</v>
      </c>
    </row>
    <row r="445" spans="1:15" x14ac:dyDescent="0.25">
      <c r="A445" s="235"/>
      <c r="B445" s="235"/>
      <c r="C445" s="236"/>
      <c r="D445" s="236"/>
      <c r="E445" s="236"/>
      <c r="F445" s="236"/>
      <c r="G445" s="236"/>
      <c r="H445" s="236"/>
      <c r="I445" s="236"/>
      <c r="J445" s="236"/>
      <c r="K445" s="236"/>
      <c r="L445" s="236"/>
      <c r="M445" s="236"/>
      <c r="N445" s="236"/>
      <c r="O445" s="236"/>
    </row>
    <row r="446" spans="1:15" x14ac:dyDescent="0.25">
      <c r="A446" s="239"/>
      <c r="B446" s="239" t="s">
        <v>995</v>
      </c>
      <c r="C446" s="240"/>
      <c r="D446" s="240"/>
      <c r="E446" s="240"/>
      <c r="F446" s="240"/>
      <c r="G446" s="240"/>
      <c r="H446" s="240"/>
      <c r="I446" s="240"/>
      <c r="J446" s="240"/>
      <c r="K446" s="240"/>
      <c r="L446" s="240"/>
      <c r="M446" s="240"/>
      <c r="N446" s="240"/>
      <c r="O446" s="240"/>
    </row>
    <row r="447" spans="1:15" x14ac:dyDescent="0.25">
      <c r="A447" s="241" t="s">
        <v>996</v>
      </c>
      <c r="B447" s="241" t="s">
        <v>997</v>
      </c>
      <c r="C447" s="242">
        <v>201247.29</v>
      </c>
      <c r="D447" s="242">
        <v>204512.25</v>
      </c>
      <c r="E447" s="242">
        <v>192216.38</v>
      </c>
      <c r="F447" s="242">
        <v>196391.67999999999</v>
      </c>
      <c r="G447" s="242">
        <v>221257.84</v>
      </c>
      <c r="H447" s="242">
        <v>200132.17</v>
      </c>
      <c r="I447" s="242">
        <v>208816.78</v>
      </c>
      <c r="J447" s="242">
        <v>202929</v>
      </c>
      <c r="K447" s="242">
        <v>204616.46</v>
      </c>
      <c r="L447" s="242">
        <v>-6157.06</v>
      </c>
      <c r="M447" s="243"/>
      <c r="N447" s="243"/>
      <c r="O447" s="242">
        <v>1825962.79</v>
      </c>
    </row>
    <row r="448" spans="1:15" x14ac:dyDescent="0.25">
      <c r="A448" s="241" t="s">
        <v>998</v>
      </c>
      <c r="B448" s="241" t="s">
        <v>841</v>
      </c>
      <c r="C448" s="242">
        <v>595284.84</v>
      </c>
      <c r="D448" s="242">
        <v>591464.76</v>
      </c>
      <c r="E448" s="242">
        <v>576457.05000000005</v>
      </c>
      <c r="F448" s="242">
        <v>616896.92000000004</v>
      </c>
      <c r="G448" s="242">
        <v>603906.18999999994</v>
      </c>
      <c r="H448" s="242">
        <v>530513.18000000005</v>
      </c>
      <c r="I448" s="242">
        <v>577287.73</v>
      </c>
      <c r="J448" s="242">
        <v>561639.12</v>
      </c>
      <c r="K448" s="242">
        <v>575282.6</v>
      </c>
      <c r="L448" s="242">
        <v>16585.96</v>
      </c>
      <c r="M448" s="242">
        <v>251.44</v>
      </c>
      <c r="N448" s="242">
        <v>0.66</v>
      </c>
      <c r="O448" s="242">
        <v>5245570.45</v>
      </c>
    </row>
    <row r="449" spans="1:15" x14ac:dyDescent="0.25">
      <c r="A449" s="241" t="s">
        <v>999</v>
      </c>
      <c r="B449" s="241" t="s">
        <v>847</v>
      </c>
      <c r="C449" s="242">
        <v>721.34</v>
      </c>
      <c r="D449" s="242">
        <v>5274</v>
      </c>
      <c r="E449" s="242">
        <v>3418</v>
      </c>
      <c r="F449" s="242">
        <v>6275</v>
      </c>
      <c r="G449" s="242">
        <v>2843.99</v>
      </c>
      <c r="H449" s="242">
        <v>3200</v>
      </c>
      <c r="I449" s="242">
        <v>2651</v>
      </c>
      <c r="J449" s="242">
        <v>3725</v>
      </c>
      <c r="K449" s="242">
        <v>5990</v>
      </c>
      <c r="L449" s="242">
        <v>2005</v>
      </c>
      <c r="M449" s="242">
        <v>3400</v>
      </c>
      <c r="N449" s="243"/>
      <c r="O449" s="242">
        <v>39503.33</v>
      </c>
    </row>
    <row r="450" spans="1:15" x14ac:dyDescent="0.25">
      <c r="A450" s="241" t="s">
        <v>1569</v>
      </c>
      <c r="B450" s="241" t="s">
        <v>848</v>
      </c>
      <c r="C450" s="243"/>
      <c r="D450" s="243"/>
      <c r="E450" s="243"/>
      <c r="F450" s="243"/>
      <c r="G450" s="243"/>
      <c r="H450" s="242">
        <v>388.72</v>
      </c>
      <c r="I450" s="242">
        <v>924.77</v>
      </c>
      <c r="J450" s="242">
        <v>780.1</v>
      </c>
      <c r="K450" s="242">
        <v>543.22</v>
      </c>
      <c r="L450" s="243"/>
      <c r="M450" s="243"/>
      <c r="N450" s="243"/>
      <c r="O450" s="242">
        <v>2636.81</v>
      </c>
    </row>
    <row r="451" spans="1:15" x14ac:dyDescent="0.25">
      <c r="A451" s="241" t="s">
        <v>1000</v>
      </c>
      <c r="B451" s="241" t="s">
        <v>850</v>
      </c>
      <c r="C451" s="242">
        <v>28812.720000000001</v>
      </c>
      <c r="D451" s="242">
        <v>47648.959999999999</v>
      </c>
      <c r="E451" s="242">
        <v>58877.65</v>
      </c>
      <c r="F451" s="242">
        <v>41563.56</v>
      </c>
      <c r="G451" s="242">
        <v>42706.96</v>
      </c>
      <c r="H451" s="242">
        <v>56281.59</v>
      </c>
      <c r="I451" s="242">
        <v>51940.07</v>
      </c>
      <c r="J451" s="242">
        <v>54120.09</v>
      </c>
      <c r="K451" s="242">
        <v>60286.6</v>
      </c>
      <c r="L451" s="242">
        <v>554.1</v>
      </c>
      <c r="M451" s="243"/>
      <c r="N451" s="243"/>
      <c r="O451" s="242">
        <v>442792.3</v>
      </c>
    </row>
    <row r="452" spans="1:15" x14ac:dyDescent="0.25">
      <c r="A452" s="241" t="s">
        <v>1001</v>
      </c>
      <c r="B452" s="241" t="s">
        <v>852</v>
      </c>
      <c r="C452" s="242">
        <v>45658.44</v>
      </c>
      <c r="D452" s="242">
        <v>48533.33</v>
      </c>
      <c r="E452" s="242">
        <v>67448.36</v>
      </c>
      <c r="F452" s="242">
        <v>37969.67</v>
      </c>
      <c r="G452" s="242">
        <v>18472.560000000001</v>
      </c>
      <c r="H452" s="242">
        <v>11249.41</v>
      </c>
      <c r="I452" s="242">
        <v>16494.66</v>
      </c>
      <c r="J452" s="242">
        <v>19575.16</v>
      </c>
      <c r="K452" s="242">
        <v>34516.61</v>
      </c>
      <c r="L452" s="242">
        <v>3588.13</v>
      </c>
      <c r="M452" s="242">
        <v>1604.79</v>
      </c>
      <c r="N452" s="243"/>
      <c r="O452" s="242">
        <v>305111.12</v>
      </c>
    </row>
    <row r="453" spans="1:15" x14ac:dyDescent="0.25">
      <c r="A453" s="241" t="s">
        <v>1002</v>
      </c>
      <c r="B453" s="241" t="s">
        <v>825</v>
      </c>
      <c r="C453" s="242">
        <v>66979.8</v>
      </c>
      <c r="D453" s="242">
        <v>69393.19</v>
      </c>
      <c r="E453" s="242">
        <v>74854.47</v>
      </c>
      <c r="F453" s="242">
        <v>77149.67</v>
      </c>
      <c r="G453" s="242">
        <v>74563.69</v>
      </c>
      <c r="H453" s="242">
        <v>64266.04</v>
      </c>
      <c r="I453" s="242">
        <v>102040.65</v>
      </c>
      <c r="J453" s="242">
        <v>63797.64</v>
      </c>
      <c r="K453" s="242">
        <v>64126.37</v>
      </c>
      <c r="L453" s="242">
        <v>3215.36</v>
      </c>
      <c r="M453" s="242">
        <v>424.18</v>
      </c>
      <c r="N453" s="242">
        <v>7.0000000000000007E-2</v>
      </c>
      <c r="O453" s="242">
        <v>660811.13</v>
      </c>
    </row>
    <row r="454" spans="1:15" x14ac:dyDescent="0.25">
      <c r="A454" s="241" t="s">
        <v>1003</v>
      </c>
      <c r="B454" s="241" t="s">
        <v>855</v>
      </c>
      <c r="C454" s="242">
        <v>3720.26</v>
      </c>
      <c r="D454" s="242">
        <v>2377.65</v>
      </c>
      <c r="E454" s="242">
        <v>2950.43</v>
      </c>
      <c r="F454" s="242">
        <v>2863.08</v>
      </c>
      <c r="G454" s="242">
        <v>6497.27</v>
      </c>
      <c r="H454" s="242">
        <v>2202.38</v>
      </c>
      <c r="I454" s="242">
        <v>2284.5500000000002</v>
      </c>
      <c r="J454" s="242">
        <v>2313.88</v>
      </c>
      <c r="K454" s="242">
        <v>698.28</v>
      </c>
      <c r="L454" s="242">
        <v>1118.74</v>
      </c>
      <c r="M454" s="242">
        <v>5595.14</v>
      </c>
      <c r="N454" s="242">
        <v>725.77</v>
      </c>
      <c r="O454" s="242">
        <v>33347.43</v>
      </c>
    </row>
    <row r="455" spans="1:15" x14ac:dyDescent="0.25">
      <c r="A455" s="241" t="s">
        <v>1624</v>
      </c>
      <c r="B455" s="241" t="s">
        <v>1625</v>
      </c>
      <c r="C455" s="243"/>
      <c r="D455" s="243"/>
      <c r="E455" s="243"/>
      <c r="F455" s="243"/>
      <c r="G455" s="243"/>
      <c r="H455" s="243"/>
      <c r="I455" s="243"/>
      <c r="J455" s="243"/>
      <c r="K455" s="243"/>
      <c r="L455" s="242">
        <v>2034277.12</v>
      </c>
      <c r="M455" s="242">
        <v>1907242.72</v>
      </c>
      <c r="N455" s="242">
        <v>2151553.11</v>
      </c>
      <c r="O455" s="242">
        <v>6093072.9500000002</v>
      </c>
    </row>
    <row r="456" spans="1:15" x14ac:dyDescent="0.25">
      <c r="A456" s="241" t="s">
        <v>1004</v>
      </c>
      <c r="B456" s="241" t="s">
        <v>923</v>
      </c>
      <c r="C456" s="242">
        <v>73347.320000000007</v>
      </c>
      <c r="D456" s="242">
        <v>82614.33</v>
      </c>
      <c r="E456" s="242">
        <v>75027.460000000006</v>
      </c>
      <c r="F456" s="242">
        <v>66338.759999999995</v>
      </c>
      <c r="G456" s="242">
        <v>69042.28</v>
      </c>
      <c r="H456" s="242">
        <v>65319.82</v>
      </c>
      <c r="I456" s="242">
        <v>75891.240000000005</v>
      </c>
      <c r="J456" s="242">
        <v>76214.41</v>
      </c>
      <c r="K456" s="242">
        <v>72154.240000000005</v>
      </c>
      <c r="L456" s="242">
        <v>5585.05</v>
      </c>
      <c r="M456" s="242">
        <v>3771.06</v>
      </c>
      <c r="N456" s="242">
        <v>2289.09</v>
      </c>
      <c r="O456" s="242">
        <v>667595.06000000006</v>
      </c>
    </row>
    <row r="457" spans="1:15" x14ac:dyDescent="0.25">
      <c r="A457" s="241" t="s">
        <v>1005</v>
      </c>
      <c r="B457" s="241" t="s">
        <v>1006</v>
      </c>
      <c r="C457" s="242">
        <v>13621.96</v>
      </c>
      <c r="D457" s="242">
        <v>16657.849999999999</v>
      </c>
      <c r="E457" s="242">
        <v>15288.52</v>
      </c>
      <c r="F457" s="242">
        <v>13752.88</v>
      </c>
      <c r="G457" s="242">
        <v>13244.8</v>
      </c>
      <c r="H457" s="242">
        <v>13138.93</v>
      </c>
      <c r="I457" s="242">
        <v>13679.83</v>
      </c>
      <c r="J457" s="242">
        <v>15869.17</v>
      </c>
      <c r="K457" s="242">
        <v>14118.91</v>
      </c>
      <c r="L457" s="242">
        <v>4892.7299999999996</v>
      </c>
      <c r="M457" s="242">
        <v>-140.94999999999999</v>
      </c>
      <c r="N457" s="242">
        <v>2468.2399999999998</v>
      </c>
      <c r="O457" s="242">
        <v>136592.87</v>
      </c>
    </row>
    <row r="458" spans="1:15" x14ac:dyDescent="0.25">
      <c r="A458" s="241" t="s">
        <v>1007</v>
      </c>
      <c r="B458" s="241" t="s">
        <v>861</v>
      </c>
      <c r="C458" s="242">
        <v>71376.210000000006</v>
      </c>
      <c r="D458" s="242">
        <v>71651.399999999994</v>
      </c>
      <c r="E458" s="242">
        <v>72469.100000000006</v>
      </c>
      <c r="F458" s="242">
        <v>84049</v>
      </c>
      <c r="G458" s="242">
        <v>53894.04</v>
      </c>
      <c r="H458" s="242">
        <v>83812.84</v>
      </c>
      <c r="I458" s="242">
        <v>84958.54</v>
      </c>
      <c r="J458" s="242">
        <v>78681.8</v>
      </c>
      <c r="K458" s="242">
        <v>76626.44</v>
      </c>
      <c r="L458" s="243"/>
      <c r="M458" s="243"/>
      <c r="N458" s="242">
        <v>-6800</v>
      </c>
      <c r="O458" s="242">
        <v>670719.37</v>
      </c>
    </row>
    <row r="459" spans="1:15" x14ac:dyDescent="0.25">
      <c r="A459" s="241" t="s">
        <v>1008</v>
      </c>
      <c r="B459" s="241" t="s">
        <v>865</v>
      </c>
      <c r="C459" s="242">
        <v>175</v>
      </c>
      <c r="D459" s="242">
        <v>150</v>
      </c>
      <c r="E459" s="242">
        <v>35</v>
      </c>
      <c r="F459" s="243"/>
      <c r="G459" s="242">
        <v>1137.8800000000001</v>
      </c>
      <c r="H459" s="243"/>
      <c r="I459" s="242">
        <v>2032.95</v>
      </c>
      <c r="J459" s="242">
        <v>328</v>
      </c>
      <c r="K459" s="242">
        <v>489</v>
      </c>
      <c r="L459" s="243"/>
      <c r="M459" s="243"/>
      <c r="N459" s="243"/>
      <c r="O459" s="242">
        <v>4347.83</v>
      </c>
    </row>
    <row r="460" spans="1:15" x14ac:dyDescent="0.25">
      <c r="A460" s="241" t="s">
        <v>1009</v>
      </c>
      <c r="B460" s="241" t="s">
        <v>1010</v>
      </c>
      <c r="C460" s="242">
        <v>721808.01</v>
      </c>
      <c r="D460" s="242">
        <v>820623.85</v>
      </c>
      <c r="E460" s="242">
        <v>749003.9</v>
      </c>
      <c r="F460" s="242">
        <v>688037.82</v>
      </c>
      <c r="G460" s="242">
        <v>691096.13</v>
      </c>
      <c r="H460" s="242">
        <v>664033.57999999996</v>
      </c>
      <c r="I460" s="242">
        <v>810585.79</v>
      </c>
      <c r="J460" s="242">
        <v>795204.28</v>
      </c>
      <c r="K460" s="242">
        <v>803612.69</v>
      </c>
      <c r="L460" s="242">
        <v>65779.16</v>
      </c>
      <c r="M460" s="242">
        <v>-45560.24</v>
      </c>
      <c r="N460" s="242">
        <v>44579.839999999997</v>
      </c>
      <c r="O460" s="242">
        <v>6808804.8099999996</v>
      </c>
    </row>
    <row r="461" spans="1:15" x14ac:dyDescent="0.25">
      <c r="A461" s="241" t="s">
        <v>1011</v>
      </c>
      <c r="B461" s="241" t="s">
        <v>1012</v>
      </c>
      <c r="C461" s="242">
        <v>30777.75</v>
      </c>
      <c r="D461" s="242">
        <v>43117.18</v>
      </c>
      <c r="E461" s="242">
        <v>39124.910000000003</v>
      </c>
      <c r="F461" s="242">
        <v>39517.699999999997</v>
      </c>
      <c r="G461" s="242">
        <v>36862.28</v>
      </c>
      <c r="H461" s="242">
        <v>35481.47</v>
      </c>
      <c r="I461" s="242">
        <v>53911.86</v>
      </c>
      <c r="J461" s="242">
        <v>37409.15</v>
      </c>
      <c r="K461" s="242">
        <v>36328.58</v>
      </c>
      <c r="L461" s="242">
        <v>18770.53</v>
      </c>
      <c r="M461" s="242">
        <v>18045.599999999999</v>
      </c>
      <c r="N461" s="242">
        <v>17038.05</v>
      </c>
      <c r="O461" s="242">
        <v>406385.06</v>
      </c>
    </row>
    <row r="462" spans="1:15" x14ac:dyDescent="0.25">
      <c r="A462" s="241" t="s">
        <v>1013</v>
      </c>
      <c r="B462" s="241" t="s">
        <v>867</v>
      </c>
      <c r="C462" s="242">
        <v>3955.96</v>
      </c>
      <c r="D462" s="242">
        <v>6212.17</v>
      </c>
      <c r="E462" s="242">
        <v>5289.63</v>
      </c>
      <c r="F462" s="242">
        <v>5488.91</v>
      </c>
      <c r="G462" s="242">
        <v>4604.04</v>
      </c>
      <c r="H462" s="242">
        <v>4927.93</v>
      </c>
      <c r="I462" s="242">
        <v>10472.98</v>
      </c>
      <c r="J462" s="242">
        <v>5795.55</v>
      </c>
      <c r="K462" s="242">
        <v>10133.34</v>
      </c>
      <c r="L462" s="242">
        <v>393.7</v>
      </c>
      <c r="M462" s="242">
        <v>2332.6</v>
      </c>
      <c r="N462" s="242">
        <v>995.88</v>
      </c>
      <c r="O462" s="242">
        <v>60602.69</v>
      </c>
    </row>
    <row r="463" spans="1:15" x14ac:dyDescent="0.25">
      <c r="A463" s="241" t="s">
        <v>1014</v>
      </c>
      <c r="B463" s="241" t="s">
        <v>591</v>
      </c>
      <c r="C463" s="242">
        <v>7053.19</v>
      </c>
      <c r="D463" s="242">
        <v>6909.54</v>
      </c>
      <c r="E463" s="242">
        <v>6657.56</v>
      </c>
      <c r="F463" s="242">
        <v>7133.93</v>
      </c>
      <c r="G463" s="242">
        <v>5679.55</v>
      </c>
      <c r="H463" s="242">
        <v>8859.34</v>
      </c>
      <c r="I463" s="242">
        <v>6897.86</v>
      </c>
      <c r="J463" s="242">
        <v>7055.7</v>
      </c>
      <c r="K463" s="242">
        <v>7072.61</v>
      </c>
      <c r="L463" s="242">
        <v>7070.53</v>
      </c>
      <c r="M463" s="242">
        <v>7093.57</v>
      </c>
      <c r="N463" s="242">
        <v>7066.59</v>
      </c>
      <c r="O463" s="242">
        <v>84549.97</v>
      </c>
    </row>
    <row r="464" spans="1:15" x14ac:dyDescent="0.25">
      <c r="A464" s="241" t="s">
        <v>1015</v>
      </c>
      <c r="B464" s="241" t="s">
        <v>928</v>
      </c>
      <c r="C464" s="242">
        <v>4200</v>
      </c>
      <c r="D464" s="242">
        <v>4400</v>
      </c>
      <c r="E464" s="242">
        <v>4300</v>
      </c>
      <c r="F464" s="242">
        <v>4200</v>
      </c>
      <c r="G464" s="242">
        <v>4200</v>
      </c>
      <c r="H464" s="242">
        <v>4200</v>
      </c>
      <c r="I464" s="242">
        <v>4200</v>
      </c>
      <c r="J464" s="242">
        <v>4200</v>
      </c>
      <c r="K464" s="242">
        <v>4200</v>
      </c>
      <c r="L464" s="243"/>
      <c r="M464" s="243"/>
      <c r="N464" s="243"/>
      <c r="O464" s="242">
        <v>38100</v>
      </c>
    </row>
    <row r="465" spans="1:15" x14ac:dyDescent="0.25">
      <c r="A465" s="241" t="s">
        <v>1016</v>
      </c>
      <c r="B465" s="241" t="s">
        <v>869</v>
      </c>
      <c r="C465" s="242">
        <v>1235.97</v>
      </c>
      <c r="D465" s="242">
        <v>1109.8599999999999</v>
      </c>
      <c r="E465" s="242">
        <v>1302.8900000000001</v>
      </c>
      <c r="F465" s="242">
        <v>2102.0700000000002</v>
      </c>
      <c r="G465" s="242">
        <v>1082.6300000000001</v>
      </c>
      <c r="H465" s="242">
        <v>2213.4899999999998</v>
      </c>
      <c r="I465" s="242">
        <v>3397.37</v>
      </c>
      <c r="J465" s="242">
        <v>3503.64</v>
      </c>
      <c r="K465" s="242">
        <v>2449.9299999999998</v>
      </c>
      <c r="L465" s="242">
        <v>1908.12</v>
      </c>
      <c r="M465" s="243"/>
      <c r="N465" s="242">
        <v>1153</v>
      </c>
      <c r="O465" s="242">
        <v>21458.97</v>
      </c>
    </row>
    <row r="466" spans="1:15" x14ac:dyDescent="0.25">
      <c r="A466" s="241" t="s">
        <v>1418</v>
      </c>
      <c r="B466" s="241" t="s">
        <v>1417</v>
      </c>
      <c r="C466" s="242">
        <v>28309.99</v>
      </c>
      <c r="D466" s="242">
        <v>35194.92</v>
      </c>
      <c r="E466" s="242">
        <v>95586.99</v>
      </c>
      <c r="F466" s="242">
        <v>113340.84</v>
      </c>
      <c r="G466" s="242">
        <v>41747.339999999997</v>
      </c>
      <c r="H466" s="242">
        <v>16882.64</v>
      </c>
      <c r="I466" s="242">
        <v>15893.39</v>
      </c>
      <c r="J466" s="242">
        <v>8386.09</v>
      </c>
      <c r="K466" s="242">
        <v>10496.79</v>
      </c>
      <c r="L466" s="242">
        <v>-133.43</v>
      </c>
      <c r="M466" s="243"/>
      <c r="N466" s="242">
        <v>228.55</v>
      </c>
      <c r="O466" s="242">
        <v>365934.11</v>
      </c>
    </row>
    <row r="467" spans="1:15" x14ac:dyDescent="0.25">
      <c r="A467" s="241" t="s">
        <v>1631</v>
      </c>
      <c r="B467" s="241" t="s">
        <v>873</v>
      </c>
      <c r="C467" s="243"/>
      <c r="D467" s="243"/>
      <c r="E467" s="243"/>
      <c r="F467" s="243"/>
      <c r="G467" s="243"/>
      <c r="H467" s="243"/>
      <c r="I467" s="243"/>
      <c r="J467" s="243"/>
      <c r="K467" s="243"/>
      <c r="L467" s="243"/>
      <c r="M467" s="242">
        <v>12</v>
      </c>
      <c r="N467" s="243"/>
      <c r="O467" s="242">
        <v>12</v>
      </c>
    </row>
    <row r="468" spans="1:15" x14ac:dyDescent="0.25">
      <c r="A468" s="241" t="s">
        <v>1017</v>
      </c>
      <c r="B468" s="241" t="s">
        <v>875</v>
      </c>
      <c r="C468" s="242">
        <v>231.23</v>
      </c>
      <c r="D468" s="242">
        <v>137.35</v>
      </c>
      <c r="E468" s="242">
        <v>100.12</v>
      </c>
      <c r="F468" s="243"/>
      <c r="G468" s="242">
        <v>68.900000000000006</v>
      </c>
      <c r="H468" s="242">
        <v>37.880000000000003</v>
      </c>
      <c r="I468" s="242">
        <v>26.75</v>
      </c>
      <c r="J468" s="242">
        <v>63.49</v>
      </c>
      <c r="K468" s="243"/>
      <c r="L468" s="242">
        <v>691.1</v>
      </c>
      <c r="M468" s="243"/>
      <c r="N468" s="243"/>
      <c r="O468" s="242">
        <v>1356.82</v>
      </c>
    </row>
    <row r="469" spans="1:15" x14ac:dyDescent="0.25">
      <c r="A469" s="241" t="s">
        <v>1614</v>
      </c>
      <c r="B469" s="241" t="s">
        <v>880</v>
      </c>
      <c r="C469" s="243"/>
      <c r="D469" s="243"/>
      <c r="E469" s="243"/>
      <c r="F469" s="243"/>
      <c r="G469" s="243"/>
      <c r="H469" s="243"/>
      <c r="I469" s="243"/>
      <c r="J469" s="243"/>
      <c r="K469" s="242">
        <v>588.16999999999996</v>
      </c>
      <c r="L469" s="243"/>
      <c r="M469" s="243"/>
      <c r="N469" s="243"/>
      <c r="O469" s="242">
        <v>588.16999999999996</v>
      </c>
    </row>
    <row r="470" spans="1:15" x14ac:dyDescent="0.25">
      <c r="A470" s="241" t="s">
        <v>1018</v>
      </c>
      <c r="B470" s="241" t="s">
        <v>883</v>
      </c>
      <c r="C470" s="243"/>
      <c r="D470" s="242">
        <v>49.66</v>
      </c>
      <c r="E470" s="242">
        <v>36.99</v>
      </c>
      <c r="F470" s="242">
        <v>9.23</v>
      </c>
      <c r="G470" s="243"/>
      <c r="H470" s="242">
        <v>33.729999999999997</v>
      </c>
      <c r="I470" s="243"/>
      <c r="J470" s="243"/>
      <c r="K470" s="242">
        <v>66.48</v>
      </c>
      <c r="L470" s="243"/>
      <c r="M470" s="243"/>
      <c r="N470" s="243"/>
      <c r="O470" s="242">
        <v>196.09</v>
      </c>
    </row>
    <row r="471" spans="1:15" x14ac:dyDescent="0.25">
      <c r="A471" s="241" t="s">
        <v>1019</v>
      </c>
      <c r="B471" s="241" t="s">
        <v>885</v>
      </c>
      <c r="C471" s="242">
        <v>29.89</v>
      </c>
      <c r="D471" s="242">
        <v>70.17</v>
      </c>
      <c r="E471" s="242">
        <v>63.21</v>
      </c>
      <c r="F471" s="242">
        <v>63.21</v>
      </c>
      <c r="G471" s="242">
        <v>84.9</v>
      </c>
      <c r="H471" s="242">
        <v>10.49</v>
      </c>
      <c r="I471" s="243"/>
      <c r="J471" s="242">
        <v>100.33</v>
      </c>
      <c r="K471" s="242">
        <v>1059.52</v>
      </c>
      <c r="L471" s="242">
        <v>62.84</v>
      </c>
      <c r="M471" s="243"/>
      <c r="N471" s="243"/>
      <c r="O471" s="242">
        <v>1544.56</v>
      </c>
    </row>
    <row r="472" spans="1:15" x14ac:dyDescent="0.25">
      <c r="A472" s="241" t="s">
        <v>1020</v>
      </c>
      <c r="B472" s="241" t="s">
        <v>890</v>
      </c>
      <c r="C472" s="242">
        <v>314</v>
      </c>
      <c r="D472" s="242">
        <v>1200</v>
      </c>
      <c r="E472" s="242">
        <v>305</v>
      </c>
      <c r="F472" s="242">
        <v>225</v>
      </c>
      <c r="G472" s="242">
        <v>118</v>
      </c>
      <c r="H472" s="242">
        <v>545</v>
      </c>
      <c r="I472" s="243"/>
      <c r="J472" s="243"/>
      <c r="K472" s="243"/>
      <c r="L472" s="243"/>
      <c r="M472" s="243"/>
      <c r="N472" s="243"/>
      <c r="O472" s="242">
        <v>2707</v>
      </c>
    </row>
    <row r="473" spans="1:15" x14ac:dyDescent="0.25">
      <c r="A473" s="241" t="s">
        <v>1021</v>
      </c>
      <c r="B473" s="241" t="s">
        <v>892</v>
      </c>
      <c r="C473" s="243"/>
      <c r="D473" s="242">
        <v>233.17</v>
      </c>
      <c r="E473" s="243"/>
      <c r="F473" s="243"/>
      <c r="G473" s="243"/>
      <c r="H473" s="243"/>
      <c r="I473" s="242">
        <v>502.29</v>
      </c>
      <c r="J473" s="242">
        <v>94.93</v>
      </c>
      <c r="K473" s="242">
        <v>15.89</v>
      </c>
      <c r="L473" s="243"/>
      <c r="M473" s="243"/>
      <c r="N473" s="243"/>
      <c r="O473" s="242">
        <v>846.28</v>
      </c>
    </row>
    <row r="474" spans="1:15" x14ac:dyDescent="0.25">
      <c r="A474" s="241" t="s">
        <v>1022</v>
      </c>
      <c r="B474" s="241" t="s">
        <v>893</v>
      </c>
      <c r="C474" s="244">
        <v>157</v>
      </c>
      <c r="D474" s="244">
        <v>177</v>
      </c>
      <c r="E474" s="244">
        <v>777</v>
      </c>
      <c r="F474" s="246"/>
      <c r="G474" s="244">
        <v>200</v>
      </c>
      <c r="H474" s="246"/>
      <c r="I474" s="246"/>
      <c r="J474" s="246"/>
      <c r="K474" s="246"/>
      <c r="L474" s="246"/>
      <c r="M474" s="246"/>
      <c r="N474" s="246"/>
      <c r="O474" s="244">
        <v>1311</v>
      </c>
    </row>
    <row r="475" spans="1:15" x14ac:dyDescent="0.25">
      <c r="A475" s="239"/>
      <c r="B475" s="239" t="s">
        <v>1023</v>
      </c>
      <c r="C475" s="245">
        <v>1899018.17</v>
      </c>
      <c r="D475" s="245">
        <v>2059712.59</v>
      </c>
      <c r="E475" s="245">
        <v>2041590.62</v>
      </c>
      <c r="F475" s="245">
        <v>2003368.93</v>
      </c>
      <c r="G475" s="245">
        <v>1893311.27</v>
      </c>
      <c r="H475" s="245">
        <v>1767730.63</v>
      </c>
      <c r="I475" s="245">
        <v>2044891.06</v>
      </c>
      <c r="J475" s="245">
        <v>1941786.53</v>
      </c>
      <c r="K475" s="245">
        <v>1985472.73</v>
      </c>
      <c r="L475" s="245">
        <v>2160207.6800000002</v>
      </c>
      <c r="M475" s="245">
        <v>1904071.91</v>
      </c>
      <c r="N475" s="245">
        <v>2221298.85</v>
      </c>
      <c r="O475" s="245">
        <v>23922460.969999999</v>
      </c>
    </row>
    <row r="476" spans="1:15" x14ac:dyDescent="0.25">
      <c r="A476" s="235"/>
      <c r="B476" s="235"/>
      <c r="C476" s="236"/>
      <c r="D476" s="236"/>
      <c r="E476" s="236"/>
      <c r="F476" s="236"/>
      <c r="G476" s="236"/>
      <c r="H476" s="236"/>
      <c r="I476" s="236"/>
      <c r="J476" s="236"/>
      <c r="K476" s="236"/>
      <c r="L476" s="236"/>
      <c r="M476" s="236"/>
      <c r="N476" s="236"/>
      <c r="O476" s="236"/>
    </row>
    <row r="477" spans="1:15" x14ac:dyDescent="0.25">
      <c r="A477" s="239"/>
      <c r="B477" s="239" t="s">
        <v>593</v>
      </c>
      <c r="C477" s="240"/>
      <c r="D477" s="240"/>
      <c r="E477" s="240"/>
      <c r="F477" s="240"/>
      <c r="G477" s="240"/>
      <c r="H477" s="240"/>
      <c r="I477" s="240"/>
      <c r="J477" s="240"/>
      <c r="K477" s="240"/>
      <c r="L477" s="240"/>
      <c r="M477" s="240"/>
      <c r="N477" s="240"/>
      <c r="O477" s="240"/>
    </row>
    <row r="478" spans="1:15" x14ac:dyDescent="0.25">
      <c r="A478" s="241" t="s">
        <v>1024</v>
      </c>
      <c r="B478" s="241" t="s">
        <v>855</v>
      </c>
      <c r="C478" s="242">
        <v>398089.67</v>
      </c>
      <c r="D478" s="242">
        <v>398090.13</v>
      </c>
      <c r="E478" s="242">
        <v>396089.67</v>
      </c>
      <c r="F478" s="242">
        <v>394690.56</v>
      </c>
      <c r="G478" s="243"/>
      <c r="H478" s="243"/>
      <c r="I478" s="243"/>
      <c r="J478" s="243"/>
      <c r="K478" s="242">
        <v>194.81</v>
      </c>
      <c r="L478" s="242">
        <v>299.58</v>
      </c>
      <c r="M478" s="243"/>
      <c r="N478" s="243"/>
      <c r="O478" s="242">
        <v>1587454.42</v>
      </c>
    </row>
    <row r="479" spans="1:15" x14ac:dyDescent="0.25">
      <c r="A479" s="241" t="s">
        <v>1527</v>
      </c>
      <c r="B479" s="241" t="s">
        <v>1528</v>
      </c>
      <c r="C479" s="243"/>
      <c r="D479" s="243"/>
      <c r="E479" s="243"/>
      <c r="F479" s="243"/>
      <c r="G479" s="242">
        <v>394161.88</v>
      </c>
      <c r="H479" s="242">
        <v>394161.88</v>
      </c>
      <c r="I479" s="242">
        <v>394161.89</v>
      </c>
      <c r="J479" s="242">
        <v>394161.88</v>
      </c>
      <c r="K479" s="242">
        <v>394416.8</v>
      </c>
      <c r="L479" s="242">
        <v>340989.08</v>
      </c>
      <c r="M479" s="242">
        <v>397335.03</v>
      </c>
      <c r="N479" s="242">
        <v>377958.01</v>
      </c>
      <c r="O479" s="242">
        <v>3087346.45</v>
      </c>
    </row>
    <row r="480" spans="1:15" x14ac:dyDescent="0.25">
      <c r="A480" s="241" t="s">
        <v>1025</v>
      </c>
      <c r="B480" s="241" t="s">
        <v>923</v>
      </c>
      <c r="C480" s="242">
        <v>25.58</v>
      </c>
      <c r="D480" s="242">
        <v>2833.54</v>
      </c>
      <c r="E480" s="242">
        <v>-439.09</v>
      </c>
      <c r="F480" s="242">
        <v>327.9</v>
      </c>
      <c r="G480" s="242">
        <v>62.58</v>
      </c>
      <c r="H480" s="242">
        <v>254.33</v>
      </c>
      <c r="I480" s="242">
        <v>280.10000000000002</v>
      </c>
      <c r="J480" s="242">
        <v>205.51</v>
      </c>
      <c r="K480" s="242">
        <v>41.55</v>
      </c>
      <c r="L480" s="242">
        <v>190.8</v>
      </c>
      <c r="M480" s="243"/>
      <c r="N480" s="243"/>
      <c r="O480" s="242">
        <v>3782.8</v>
      </c>
    </row>
    <row r="481" spans="1:15" x14ac:dyDescent="0.25">
      <c r="A481" s="241" t="s">
        <v>1570</v>
      </c>
      <c r="B481" s="241" t="s">
        <v>1006</v>
      </c>
      <c r="C481" s="243"/>
      <c r="D481" s="243"/>
      <c r="E481" s="243"/>
      <c r="F481" s="243"/>
      <c r="G481" s="243"/>
      <c r="H481" s="242">
        <v>108.08</v>
      </c>
      <c r="I481" s="242">
        <v>226.86</v>
      </c>
      <c r="J481" s="243"/>
      <c r="K481" s="243"/>
      <c r="L481" s="243"/>
      <c r="M481" s="243"/>
      <c r="N481" s="243"/>
      <c r="O481" s="242">
        <v>334.94</v>
      </c>
    </row>
    <row r="482" spans="1:15" x14ac:dyDescent="0.25">
      <c r="A482" s="241" t="s">
        <v>1026</v>
      </c>
      <c r="B482" s="241" t="s">
        <v>1027</v>
      </c>
      <c r="C482" s="242">
        <v>2491.27</v>
      </c>
      <c r="D482" s="242">
        <v>912.66</v>
      </c>
      <c r="E482" s="242">
        <v>350.57</v>
      </c>
      <c r="F482" s="242">
        <v>276.64</v>
      </c>
      <c r="G482" s="242">
        <v>1774.11</v>
      </c>
      <c r="H482" s="242">
        <v>330.8</v>
      </c>
      <c r="I482" s="242">
        <v>1470.04</v>
      </c>
      <c r="J482" s="242">
        <v>441.76</v>
      </c>
      <c r="K482" s="242">
        <v>1987.38</v>
      </c>
      <c r="L482" s="242">
        <v>759.8</v>
      </c>
      <c r="M482" s="243"/>
      <c r="N482" s="242">
        <v>7060.23</v>
      </c>
      <c r="O482" s="242">
        <v>17855.259999999998</v>
      </c>
    </row>
    <row r="483" spans="1:15" x14ac:dyDescent="0.25">
      <c r="A483" s="241" t="s">
        <v>1028</v>
      </c>
      <c r="B483" s="241" t="s">
        <v>867</v>
      </c>
      <c r="C483" s="242">
        <v>441.69</v>
      </c>
      <c r="D483" s="242">
        <v>1795.79</v>
      </c>
      <c r="E483" s="242">
        <v>128.38</v>
      </c>
      <c r="F483" s="242">
        <v>554.48</v>
      </c>
      <c r="G483" s="242">
        <v>206.65</v>
      </c>
      <c r="H483" s="242">
        <v>1555.15</v>
      </c>
      <c r="I483" s="242">
        <v>270.25</v>
      </c>
      <c r="J483" s="242">
        <v>544.82000000000005</v>
      </c>
      <c r="K483" s="242">
        <v>1439.4</v>
      </c>
      <c r="L483" s="242">
        <v>3354.76</v>
      </c>
      <c r="M483" s="242">
        <v>496.06</v>
      </c>
      <c r="N483" s="242">
        <v>2838.56</v>
      </c>
      <c r="O483" s="242">
        <v>13625.99</v>
      </c>
    </row>
    <row r="484" spans="1:15" x14ac:dyDescent="0.25">
      <c r="A484" s="241" t="s">
        <v>1029</v>
      </c>
      <c r="B484" s="241" t="s">
        <v>869</v>
      </c>
      <c r="C484" s="246"/>
      <c r="D484" s="244">
        <v>381.04</v>
      </c>
      <c r="E484" s="244">
        <v>188</v>
      </c>
      <c r="F484" s="244">
        <v>33.22</v>
      </c>
      <c r="G484" s="244">
        <v>217.53</v>
      </c>
      <c r="H484" s="244">
        <v>697.8</v>
      </c>
      <c r="I484" s="244">
        <v>847.11</v>
      </c>
      <c r="J484" s="244">
        <v>307.89</v>
      </c>
      <c r="K484" s="244">
        <v>127.18</v>
      </c>
      <c r="L484" s="246"/>
      <c r="M484" s="244">
        <v>858.48</v>
      </c>
      <c r="N484" s="244">
        <v>177.01</v>
      </c>
      <c r="O484" s="244">
        <v>3835.26</v>
      </c>
    </row>
    <row r="485" spans="1:15" x14ac:dyDescent="0.25">
      <c r="A485" s="239"/>
      <c r="B485" s="239" t="s">
        <v>1030</v>
      </c>
      <c r="C485" s="245">
        <v>401048.21</v>
      </c>
      <c r="D485" s="245">
        <v>404013.16</v>
      </c>
      <c r="E485" s="245">
        <v>396317.53</v>
      </c>
      <c r="F485" s="245">
        <v>395882.8</v>
      </c>
      <c r="G485" s="245">
        <v>396422.75</v>
      </c>
      <c r="H485" s="245">
        <v>397108.04</v>
      </c>
      <c r="I485" s="245">
        <v>397256.25</v>
      </c>
      <c r="J485" s="245">
        <v>395661.86</v>
      </c>
      <c r="K485" s="245">
        <v>398207.12</v>
      </c>
      <c r="L485" s="245">
        <v>345594.02</v>
      </c>
      <c r="M485" s="245">
        <v>398689.57</v>
      </c>
      <c r="N485" s="245">
        <v>388033.81</v>
      </c>
      <c r="O485" s="245">
        <v>4714235.12</v>
      </c>
    </row>
    <row r="486" spans="1:15" x14ac:dyDescent="0.25">
      <c r="A486" s="235"/>
      <c r="B486" s="235"/>
      <c r="C486" s="236"/>
      <c r="D486" s="236"/>
      <c r="E486" s="236"/>
      <c r="F486" s="236"/>
      <c r="G486" s="236"/>
      <c r="H486" s="236"/>
      <c r="I486" s="236"/>
      <c r="J486" s="236"/>
      <c r="K486" s="236"/>
      <c r="L486" s="236"/>
      <c r="M486" s="236"/>
      <c r="N486" s="236"/>
      <c r="O486" s="236"/>
    </row>
    <row r="487" spans="1:15" x14ac:dyDescent="0.25">
      <c r="A487" s="239"/>
      <c r="B487" s="239" t="s">
        <v>1031</v>
      </c>
      <c r="C487" s="240"/>
      <c r="D487" s="240"/>
      <c r="E487" s="240"/>
      <c r="F487" s="240"/>
      <c r="G487" s="240"/>
      <c r="H487" s="240"/>
      <c r="I487" s="240"/>
      <c r="J487" s="240"/>
      <c r="K487" s="240"/>
      <c r="L487" s="240"/>
      <c r="M487" s="240"/>
      <c r="N487" s="240"/>
      <c r="O487" s="240"/>
    </row>
    <row r="488" spans="1:15" x14ac:dyDescent="0.25">
      <c r="A488" s="241" t="s">
        <v>1479</v>
      </c>
      <c r="B488" s="241" t="s">
        <v>841</v>
      </c>
      <c r="C488" s="242">
        <v>-88.77</v>
      </c>
      <c r="D488" s="243"/>
      <c r="E488" s="243"/>
      <c r="F488" s="243"/>
      <c r="G488" s="243"/>
      <c r="H488" s="243"/>
      <c r="I488" s="243"/>
      <c r="J488" s="243"/>
      <c r="K488" s="243"/>
      <c r="L488" s="243"/>
      <c r="M488" s="243"/>
      <c r="N488" s="243"/>
      <c r="O488" s="242">
        <v>-88.77</v>
      </c>
    </row>
    <row r="489" spans="1:15" x14ac:dyDescent="0.25">
      <c r="A489" s="241" t="s">
        <v>1480</v>
      </c>
      <c r="B489" s="241" t="s">
        <v>825</v>
      </c>
      <c r="C489" s="242">
        <v>-7.51</v>
      </c>
      <c r="D489" s="243"/>
      <c r="E489" s="243"/>
      <c r="F489" s="243"/>
      <c r="G489" s="243"/>
      <c r="H489" s="243"/>
      <c r="I489" s="243"/>
      <c r="J489" s="243"/>
      <c r="K489" s="243"/>
      <c r="L489" s="243"/>
      <c r="M489" s="243"/>
      <c r="N489" s="243"/>
      <c r="O489" s="242">
        <v>-7.51</v>
      </c>
    </row>
    <row r="490" spans="1:15" x14ac:dyDescent="0.25">
      <c r="A490" s="241" t="s">
        <v>1032</v>
      </c>
      <c r="B490" s="241" t="s">
        <v>855</v>
      </c>
      <c r="C490" s="242">
        <v>595661.74</v>
      </c>
      <c r="D490" s="242">
        <v>606696.93000000005</v>
      </c>
      <c r="E490" s="242">
        <v>596162.17000000004</v>
      </c>
      <c r="F490" s="242">
        <v>609721.12</v>
      </c>
      <c r="G490" s="243"/>
      <c r="H490" s="242">
        <v>2230.7600000000002</v>
      </c>
      <c r="I490" s="242">
        <v>100.26</v>
      </c>
      <c r="J490" s="242">
        <v>99.06</v>
      </c>
      <c r="K490" s="242">
        <v>99.06</v>
      </c>
      <c r="L490" s="242">
        <v>152.24</v>
      </c>
      <c r="M490" s="242">
        <v>99.06</v>
      </c>
      <c r="N490" s="242">
        <v>331.5</v>
      </c>
      <c r="O490" s="242">
        <v>2411353.9</v>
      </c>
    </row>
    <row r="491" spans="1:15" x14ac:dyDescent="0.25">
      <c r="A491" s="241" t="s">
        <v>1529</v>
      </c>
      <c r="B491" s="241" t="s">
        <v>1528</v>
      </c>
      <c r="C491" s="243"/>
      <c r="D491" s="243"/>
      <c r="E491" s="243"/>
      <c r="F491" s="243"/>
      <c r="G491" s="242">
        <v>588944.55000000005</v>
      </c>
      <c r="H491" s="242">
        <v>595050.26</v>
      </c>
      <c r="I491" s="242">
        <v>597853.36</v>
      </c>
      <c r="J491" s="242">
        <v>592244.85</v>
      </c>
      <c r="K491" s="242">
        <v>592999.46</v>
      </c>
      <c r="L491" s="242">
        <v>512013.68</v>
      </c>
      <c r="M491" s="242">
        <v>596256.09</v>
      </c>
      <c r="N491" s="242">
        <v>567098.99</v>
      </c>
      <c r="O491" s="242">
        <v>4642461.24</v>
      </c>
    </row>
    <row r="492" spans="1:15" x14ac:dyDescent="0.25">
      <c r="A492" s="241" t="s">
        <v>1033</v>
      </c>
      <c r="B492" s="241" t="s">
        <v>923</v>
      </c>
      <c r="C492" s="242">
        <v>1519.34</v>
      </c>
      <c r="D492" s="242">
        <v>901.87</v>
      </c>
      <c r="E492" s="242">
        <v>1562.44</v>
      </c>
      <c r="F492" s="242">
        <v>759.44</v>
      </c>
      <c r="G492" s="242">
        <v>828.81</v>
      </c>
      <c r="H492" s="242">
        <v>2401.27</v>
      </c>
      <c r="I492" s="242">
        <v>3375.18</v>
      </c>
      <c r="J492" s="242">
        <v>1370.61</v>
      </c>
      <c r="K492" s="242">
        <v>1167.1300000000001</v>
      </c>
      <c r="L492" s="242">
        <v>827.8</v>
      </c>
      <c r="M492" s="242">
        <v>1051.3</v>
      </c>
      <c r="N492" s="242">
        <v>4632.41</v>
      </c>
      <c r="O492" s="242">
        <v>20397.599999999999</v>
      </c>
    </row>
    <row r="493" spans="1:15" x14ac:dyDescent="0.25">
      <c r="A493" s="241" t="s">
        <v>1034</v>
      </c>
      <c r="B493" s="241" t="s">
        <v>867</v>
      </c>
      <c r="C493" s="242">
        <v>106.58</v>
      </c>
      <c r="D493" s="243"/>
      <c r="E493" s="242">
        <v>270.73</v>
      </c>
      <c r="F493" s="242">
        <v>87.97</v>
      </c>
      <c r="G493" s="242">
        <v>824.28</v>
      </c>
      <c r="H493" s="242">
        <v>110.47</v>
      </c>
      <c r="I493" s="242">
        <v>777.88</v>
      </c>
      <c r="J493" s="242">
        <v>404.14</v>
      </c>
      <c r="K493" s="242">
        <v>173.74</v>
      </c>
      <c r="L493" s="242">
        <v>524.41</v>
      </c>
      <c r="M493" s="242">
        <v>326.2</v>
      </c>
      <c r="N493" s="242">
        <v>548.05999999999995</v>
      </c>
      <c r="O493" s="242">
        <v>4154.46</v>
      </c>
    </row>
    <row r="494" spans="1:15" x14ac:dyDescent="0.25">
      <c r="A494" s="241" t="s">
        <v>1571</v>
      </c>
      <c r="B494" s="241" t="s">
        <v>869</v>
      </c>
      <c r="C494" s="243"/>
      <c r="D494" s="243"/>
      <c r="E494" s="243"/>
      <c r="F494" s="243"/>
      <c r="G494" s="243"/>
      <c r="H494" s="242">
        <v>78.41</v>
      </c>
      <c r="I494" s="243"/>
      <c r="J494" s="243"/>
      <c r="K494" s="243"/>
      <c r="L494" s="243"/>
      <c r="M494" s="243"/>
      <c r="N494" s="243"/>
      <c r="O494" s="242">
        <v>78.41</v>
      </c>
    </row>
    <row r="495" spans="1:15" x14ac:dyDescent="0.25">
      <c r="A495" s="241" t="s">
        <v>1452</v>
      </c>
      <c r="B495" s="241" t="s">
        <v>1417</v>
      </c>
      <c r="C495" s="242">
        <v>17758.5</v>
      </c>
      <c r="D495" s="242">
        <v>7852.5</v>
      </c>
      <c r="E495" s="242">
        <v>19015.5</v>
      </c>
      <c r="F495" s="242">
        <v>136664.15</v>
      </c>
      <c r="G495" s="242">
        <v>26500.35</v>
      </c>
      <c r="H495" s="242">
        <v>1943.8</v>
      </c>
      <c r="I495" s="242">
        <v>1859.5</v>
      </c>
      <c r="J495" s="243"/>
      <c r="K495" s="242">
        <v>1560</v>
      </c>
      <c r="L495" s="243"/>
      <c r="M495" s="243"/>
      <c r="N495" s="243"/>
      <c r="O495" s="242">
        <v>213154.3</v>
      </c>
    </row>
    <row r="496" spans="1:15" x14ac:dyDescent="0.25">
      <c r="A496" s="241" t="s">
        <v>1495</v>
      </c>
      <c r="B496" s="241" t="s">
        <v>875</v>
      </c>
      <c r="C496" s="246"/>
      <c r="D496" s="244">
        <v>137.53</v>
      </c>
      <c r="E496" s="246"/>
      <c r="F496" s="246"/>
      <c r="G496" s="246"/>
      <c r="H496" s="246"/>
      <c r="I496" s="246"/>
      <c r="J496" s="246"/>
      <c r="K496" s="246"/>
      <c r="L496" s="246"/>
      <c r="M496" s="246"/>
      <c r="N496" s="246"/>
      <c r="O496" s="244">
        <v>137.53</v>
      </c>
    </row>
    <row r="497" spans="1:15" x14ac:dyDescent="0.25">
      <c r="A497" s="239"/>
      <c r="B497" s="239" t="s">
        <v>1035</v>
      </c>
      <c r="C497" s="245">
        <v>614949.88</v>
      </c>
      <c r="D497" s="245">
        <v>615588.82999999996</v>
      </c>
      <c r="E497" s="245">
        <v>617010.84</v>
      </c>
      <c r="F497" s="245">
        <v>747232.68</v>
      </c>
      <c r="G497" s="245">
        <v>617097.99</v>
      </c>
      <c r="H497" s="245">
        <v>601814.97</v>
      </c>
      <c r="I497" s="245">
        <v>603966.18000000005</v>
      </c>
      <c r="J497" s="245">
        <v>594118.66</v>
      </c>
      <c r="K497" s="245">
        <v>595999.39</v>
      </c>
      <c r="L497" s="245">
        <v>513518.13</v>
      </c>
      <c r="M497" s="245">
        <v>597732.65</v>
      </c>
      <c r="N497" s="245">
        <v>572610.96</v>
      </c>
      <c r="O497" s="245">
        <v>7291641.1600000001</v>
      </c>
    </row>
    <row r="498" spans="1:15" x14ac:dyDescent="0.25">
      <c r="A498" s="235"/>
      <c r="B498" s="235"/>
      <c r="C498" s="236"/>
      <c r="D498" s="236"/>
      <c r="E498" s="236"/>
      <c r="F498" s="236"/>
      <c r="G498" s="236"/>
      <c r="H498" s="236"/>
      <c r="I498" s="236"/>
      <c r="J498" s="236"/>
      <c r="K498" s="236"/>
      <c r="L498" s="236"/>
      <c r="M498" s="236"/>
      <c r="N498" s="236"/>
      <c r="O498" s="236"/>
    </row>
    <row r="499" spans="1:15" x14ac:dyDescent="0.25">
      <c r="A499" s="239"/>
      <c r="B499" s="239" t="s">
        <v>1036</v>
      </c>
      <c r="C499" s="240"/>
      <c r="D499" s="240"/>
      <c r="E499" s="240"/>
      <c r="F499" s="240"/>
      <c r="G499" s="240"/>
      <c r="H499" s="240"/>
      <c r="I499" s="240"/>
      <c r="J499" s="240"/>
      <c r="K499" s="240"/>
      <c r="L499" s="240"/>
      <c r="M499" s="240"/>
      <c r="N499" s="240"/>
      <c r="O499" s="240"/>
    </row>
    <row r="500" spans="1:15" x14ac:dyDescent="0.25">
      <c r="A500" s="241" t="s">
        <v>1037</v>
      </c>
      <c r="B500" s="241" t="s">
        <v>997</v>
      </c>
      <c r="C500" s="242">
        <v>134147.19</v>
      </c>
      <c r="D500" s="242">
        <v>132753.89000000001</v>
      </c>
      <c r="E500" s="242">
        <v>134735.9</v>
      </c>
      <c r="F500" s="242">
        <v>131872.26999999999</v>
      </c>
      <c r="G500" s="242">
        <v>135491.57999999999</v>
      </c>
      <c r="H500" s="242">
        <v>140731.38</v>
      </c>
      <c r="I500" s="242">
        <v>164617.16</v>
      </c>
      <c r="J500" s="242">
        <v>154397.17000000001</v>
      </c>
      <c r="K500" s="242">
        <v>145194.98000000001</v>
      </c>
      <c r="L500" s="242">
        <v>151232.12</v>
      </c>
      <c r="M500" s="242">
        <v>149754.60999999999</v>
      </c>
      <c r="N500" s="242">
        <v>157465.93</v>
      </c>
      <c r="O500" s="242">
        <v>1732394.18</v>
      </c>
    </row>
    <row r="501" spans="1:15" x14ac:dyDescent="0.25">
      <c r="A501" s="241" t="s">
        <v>1038</v>
      </c>
      <c r="B501" s="241" t="s">
        <v>841</v>
      </c>
      <c r="C501" s="242">
        <v>83200.59</v>
      </c>
      <c r="D501" s="242">
        <v>77537.05</v>
      </c>
      <c r="E501" s="242">
        <v>64241.81</v>
      </c>
      <c r="F501" s="242">
        <v>77183.48</v>
      </c>
      <c r="G501" s="242">
        <v>84358.07</v>
      </c>
      <c r="H501" s="242">
        <v>83400.75</v>
      </c>
      <c r="I501" s="242">
        <v>85977.600000000006</v>
      </c>
      <c r="J501" s="242">
        <v>74534.7</v>
      </c>
      <c r="K501" s="242">
        <v>64457.08</v>
      </c>
      <c r="L501" s="242">
        <v>57813.7</v>
      </c>
      <c r="M501" s="242">
        <v>64825.38</v>
      </c>
      <c r="N501" s="242">
        <v>59510.68</v>
      </c>
      <c r="O501" s="242">
        <v>877040.89</v>
      </c>
    </row>
    <row r="502" spans="1:15" x14ac:dyDescent="0.25">
      <c r="A502" s="241" t="s">
        <v>1039</v>
      </c>
      <c r="B502" s="241" t="s">
        <v>847</v>
      </c>
      <c r="C502" s="242">
        <v>1000</v>
      </c>
      <c r="D502" s="242">
        <v>800</v>
      </c>
      <c r="E502" s="242">
        <v>20</v>
      </c>
      <c r="F502" s="242">
        <v>175</v>
      </c>
      <c r="G502" s="242">
        <v>150</v>
      </c>
      <c r="H502" s="242">
        <v>2475</v>
      </c>
      <c r="I502" s="242">
        <v>1450</v>
      </c>
      <c r="J502" s="242">
        <v>900</v>
      </c>
      <c r="K502" s="242">
        <v>950</v>
      </c>
      <c r="L502" s="242">
        <v>1000</v>
      </c>
      <c r="M502" s="242">
        <v>2400</v>
      </c>
      <c r="N502" s="242">
        <v>350</v>
      </c>
      <c r="O502" s="242">
        <v>11670</v>
      </c>
    </row>
    <row r="503" spans="1:15" x14ac:dyDescent="0.25">
      <c r="A503" s="241" t="s">
        <v>1040</v>
      </c>
      <c r="B503" s="241" t="s">
        <v>850</v>
      </c>
      <c r="C503" s="242">
        <v>17697.650000000001</v>
      </c>
      <c r="D503" s="242">
        <v>21029.26</v>
      </c>
      <c r="E503" s="242">
        <v>13946.27</v>
      </c>
      <c r="F503" s="242">
        <v>20012.080000000002</v>
      </c>
      <c r="G503" s="242">
        <v>15186.5</v>
      </c>
      <c r="H503" s="242">
        <v>29415.94</v>
      </c>
      <c r="I503" s="242">
        <v>21011.64</v>
      </c>
      <c r="J503" s="242">
        <v>17054.900000000001</v>
      </c>
      <c r="K503" s="242">
        <v>14453.63</v>
      </c>
      <c r="L503" s="242">
        <v>12568.06</v>
      </c>
      <c r="M503" s="242">
        <v>20140.400000000001</v>
      </c>
      <c r="N503" s="242">
        <v>26706.9</v>
      </c>
      <c r="O503" s="242">
        <v>229223.23</v>
      </c>
    </row>
    <row r="504" spans="1:15" x14ac:dyDescent="0.25">
      <c r="A504" s="241" t="s">
        <v>1041</v>
      </c>
      <c r="B504" s="241" t="s">
        <v>852</v>
      </c>
      <c r="C504" s="242">
        <v>16286.79</v>
      </c>
      <c r="D504" s="242">
        <v>12292.85</v>
      </c>
      <c r="E504" s="242">
        <v>17637.36</v>
      </c>
      <c r="F504" s="242">
        <v>25316.880000000001</v>
      </c>
      <c r="G504" s="242">
        <v>11690.47</v>
      </c>
      <c r="H504" s="242">
        <v>3339.37</v>
      </c>
      <c r="I504" s="242">
        <v>3288.52</v>
      </c>
      <c r="J504" s="242">
        <v>11130.7</v>
      </c>
      <c r="K504" s="242">
        <v>10280.209999999999</v>
      </c>
      <c r="L504" s="242">
        <v>11839.96</v>
      </c>
      <c r="M504" s="242">
        <v>21040.57</v>
      </c>
      <c r="N504" s="242">
        <v>14723.29</v>
      </c>
      <c r="O504" s="242">
        <v>158866.97</v>
      </c>
    </row>
    <row r="505" spans="1:15" x14ac:dyDescent="0.25">
      <c r="A505" s="241" t="s">
        <v>1042</v>
      </c>
      <c r="B505" s="241" t="s">
        <v>825</v>
      </c>
      <c r="C505" s="242">
        <v>18591.34</v>
      </c>
      <c r="D505" s="242">
        <v>18417.93</v>
      </c>
      <c r="E505" s="242">
        <v>20506.13</v>
      </c>
      <c r="F505" s="242">
        <v>20411.72</v>
      </c>
      <c r="G505" s="242">
        <v>21086.84</v>
      </c>
      <c r="H505" s="242">
        <v>21004.04</v>
      </c>
      <c r="I505" s="242">
        <v>31524.84</v>
      </c>
      <c r="J505" s="242">
        <v>16901.84</v>
      </c>
      <c r="K505" s="242">
        <v>16324.76</v>
      </c>
      <c r="L505" s="242">
        <v>17869.05</v>
      </c>
      <c r="M505" s="242">
        <v>19402.04</v>
      </c>
      <c r="N505" s="242">
        <v>19535.89</v>
      </c>
      <c r="O505" s="242">
        <v>241576.42</v>
      </c>
    </row>
    <row r="506" spans="1:15" x14ac:dyDescent="0.25">
      <c r="A506" s="241" t="s">
        <v>1043</v>
      </c>
      <c r="B506" s="241" t="s">
        <v>855</v>
      </c>
      <c r="C506" s="242">
        <v>52750.6</v>
      </c>
      <c r="D506" s="242">
        <v>49420.58</v>
      </c>
      <c r="E506" s="242">
        <v>59807.27</v>
      </c>
      <c r="F506" s="242">
        <v>63867.839999999997</v>
      </c>
      <c r="G506" s="242">
        <v>47313.279999999999</v>
      </c>
      <c r="H506" s="242">
        <v>61093.99</v>
      </c>
      <c r="I506" s="242">
        <v>63487.14</v>
      </c>
      <c r="J506" s="242">
        <v>52716.1</v>
      </c>
      <c r="K506" s="242">
        <v>68101.119999999995</v>
      </c>
      <c r="L506" s="242">
        <v>60071.63</v>
      </c>
      <c r="M506" s="242">
        <v>59555.91</v>
      </c>
      <c r="N506" s="242">
        <v>72554.399999999994</v>
      </c>
      <c r="O506" s="242">
        <v>710739.86</v>
      </c>
    </row>
    <row r="507" spans="1:15" x14ac:dyDescent="0.25">
      <c r="A507" s="241" t="s">
        <v>1497</v>
      </c>
      <c r="B507" s="241" t="s">
        <v>922</v>
      </c>
      <c r="C507" s="243"/>
      <c r="D507" s="243"/>
      <c r="E507" s="242">
        <v>24.68</v>
      </c>
      <c r="F507" s="243"/>
      <c r="G507" s="243"/>
      <c r="H507" s="243"/>
      <c r="I507" s="243"/>
      <c r="J507" s="243"/>
      <c r="K507" s="243"/>
      <c r="L507" s="243"/>
      <c r="M507" s="243"/>
      <c r="N507" s="243"/>
      <c r="O507" s="242">
        <v>24.68</v>
      </c>
    </row>
    <row r="508" spans="1:15" x14ac:dyDescent="0.25">
      <c r="A508" s="241" t="s">
        <v>1044</v>
      </c>
      <c r="B508" s="241" t="s">
        <v>923</v>
      </c>
      <c r="C508" s="242">
        <v>57518.14</v>
      </c>
      <c r="D508" s="242">
        <v>42817.88</v>
      </c>
      <c r="E508" s="242">
        <v>47590.03</v>
      </c>
      <c r="F508" s="242">
        <v>58415.4</v>
      </c>
      <c r="G508" s="242">
        <v>45824.87</v>
      </c>
      <c r="H508" s="242">
        <v>50398.21</v>
      </c>
      <c r="I508" s="242">
        <v>51904.04</v>
      </c>
      <c r="J508" s="242">
        <v>58767.53</v>
      </c>
      <c r="K508" s="242">
        <v>54322.46</v>
      </c>
      <c r="L508" s="242">
        <v>54865.41</v>
      </c>
      <c r="M508" s="242">
        <v>46115.35</v>
      </c>
      <c r="N508" s="242">
        <v>61183.63</v>
      </c>
      <c r="O508" s="242">
        <v>629722.94999999995</v>
      </c>
    </row>
    <row r="509" spans="1:15" x14ac:dyDescent="0.25">
      <c r="A509" s="241" t="s">
        <v>1591</v>
      </c>
      <c r="B509" s="241" t="s">
        <v>865</v>
      </c>
      <c r="C509" s="243"/>
      <c r="D509" s="243"/>
      <c r="E509" s="243"/>
      <c r="F509" s="243"/>
      <c r="G509" s="243"/>
      <c r="H509" s="243"/>
      <c r="I509" s="242">
        <v>56.95</v>
      </c>
      <c r="J509" s="242">
        <v>158.4</v>
      </c>
      <c r="K509" s="243"/>
      <c r="L509" s="243"/>
      <c r="M509" s="243"/>
      <c r="N509" s="243"/>
      <c r="O509" s="242">
        <v>215.35</v>
      </c>
    </row>
    <row r="510" spans="1:15" x14ac:dyDescent="0.25">
      <c r="A510" s="241" t="s">
        <v>1045</v>
      </c>
      <c r="B510" s="241" t="s">
        <v>867</v>
      </c>
      <c r="C510" s="242">
        <v>10778.89</v>
      </c>
      <c r="D510" s="242">
        <v>18858.009999999998</v>
      </c>
      <c r="E510" s="242">
        <v>11499.38</v>
      </c>
      <c r="F510" s="242">
        <v>13965.84</v>
      </c>
      <c r="G510" s="242">
        <v>13601.76</v>
      </c>
      <c r="H510" s="242">
        <v>13180.02</v>
      </c>
      <c r="I510" s="242">
        <v>21377.81</v>
      </c>
      <c r="J510" s="242">
        <v>15760.96</v>
      </c>
      <c r="K510" s="242">
        <v>12546.3</v>
      </c>
      <c r="L510" s="242">
        <v>11798.04</v>
      </c>
      <c r="M510" s="242">
        <v>12565.69</v>
      </c>
      <c r="N510" s="242">
        <v>8480.89</v>
      </c>
      <c r="O510" s="242">
        <v>164413.59</v>
      </c>
    </row>
    <row r="511" spans="1:15" x14ac:dyDescent="0.25">
      <c r="A511" s="241" t="s">
        <v>1046</v>
      </c>
      <c r="B511" s="241" t="s">
        <v>591</v>
      </c>
      <c r="C511" s="242">
        <v>-72.040000000000006</v>
      </c>
      <c r="D511" s="242">
        <v>779.09</v>
      </c>
      <c r="E511" s="242">
        <v>1165.5999999999999</v>
      </c>
      <c r="F511" s="242">
        <v>694.91</v>
      </c>
      <c r="G511" s="242">
        <v>655.08000000000004</v>
      </c>
      <c r="H511" s="242">
        <v>853.4</v>
      </c>
      <c r="I511" s="242">
        <v>-3369.75</v>
      </c>
      <c r="J511" s="242">
        <v>1212.2</v>
      </c>
      <c r="K511" s="242">
        <v>1581.04</v>
      </c>
      <c r="L511" s="242">
        <v>4595.71</v>
      </c>
      <c r="M511" s="242">
        <v>1259.3800000000001</v>
      </c>
      <c r="N511" s="242">
        <v>2948.58</v>
      </c>
      <c r="O511" s="242">
        <v>12303.2</v>
      </c>
    </row>
    <row r="512" spans="1:15" x14ac:dyDescent="0.25">
      <c r="A512" s="241" t="s">
        <v>1047</v>
      </c>
      <c r="B512" s="241" t="s">
        <v>1048</v>
      </c>
      <c r="C512" s="242">
        <v>2561.7800000000002</v>
      </c>
      <c r="D512" s="242">
        <v>2447.65</v>
      </c>
      <c r="E512" s="242">
        <v>2337.65</v>
      </c>
      <c r="F512" s="242">
        <v>2172.65</v>
      </c>
      <c r="G512" s="242">
        <v>2927.66</v>
      </c>
      <c r="H512" s="242">
        <v>2762.66</v>
      </c>
      <c r="I512" s="242">
        <v>2762.66</v>
      </c>
      <c r="J512" s="242">
        <v>2762.66</v>
      </c>
      <c r="K512" s="242">
        <v>2762.66</v>
      </c>
      <c r="L512" s="242">
        <v>2762.66</v>
      </c>
      <c r="M512" s="242">
        <v>2762.66</v>
      </c>
      <c r="N512" s="242">
        <v>2112.66</v>
      </c>
      <c r="O512" s="242">
        <v>31136.01</v>
      </c>
    </row>
    <row r="513" spans="1:15" x14ac:dyDescent="0.25">
      <c r="A513" s="241" t="s">
        <v>1049</v>
      </c>
      <c r="B513" s="241" t="s">
        <v>1050</v>
      </c>
      <c r="C513" s="242">
        <v>84686.85</v>
      </c>
      <c r="D513" s="242">
        <v>103975.5</v>
      </c>
      <c r="E513" s="242">
        <v>71876.160000000003</v>
      </c>
      <c r="F513" s="242">
        <v>118482.66</v>
      </c>
      <c r="G513" s="242">
        <v>82224.56</v>
      </c>
      <c r="H513" s="242">
        <v>77225</v>
      </c>
      <c r="I513" s="242">
        <v>93102.49</v>
      </c>
      <c r="J513" s="242">
        <v>125523.24</v>
      </c>
      <c r="K513" s="242">
        <v>100944.27</v>
      </c>
      <c r="L513" s="242">
        <v>83039.850000000006</v>
      </c>
      <c r="M513" s="242">
        <v>98141.33</v>
      </c>
      <c r="N513" s="242">
        <v>118895.61</v>
      </c>
      <c r="O513" s="242">
        <v>1158117.52</v>
      </c>
    </row>
    <row r="514" spans="1:15" x14ac:dyDescent="0.25">
      <c r="A514" s="241" t="s">
        <v>1051</v>
      </c>
      <c r="B514" s="241" t="s">
        <v>1052</v>
      </c>
      <c r="C514" s="242">
        <v>20773.900000000001</v>
      </c>
      <c r="D514" s="242">
        <v>17298.47</v>
      </c>
      <c r="E514" s="242">
        <v>18118.97</v>
      </c>
      <c r="F514" s="242">
        <v>18258.52</v>
      </c>
      <c r="G514" s="242">
        <v>18571.509999999998</v>
      </c>
      <c r="H514" s="242">
        <v>18860.11</v>
      </c>
      <c r="I514" s="242">
        <v>19669.5</v>
      </c>
      <c r="J514" s="242">
        <v>22348.66</v>
      </c>
      <c r="K514" s="242">
        <v>20921.63</v>
      </c>
      <c r="L514" s="242">
        <v>21940.67</v>
      </c>
      <c r="M514" s="242">
        <v>20130.57</v>
      </c>
      <c r="N514" s="242">
        <v>22206.82</v>
      </c>
      <c r="O514" s="242">
        <v>239099.33</v>
      </c>
    </row>
    <row r="515" spans="1:15" x14ac:dyDescent="0.25">
      <c r="A515" s="241" t="s">
        <v>1053</v>
      </c>
      <c r="B515" s="241" t="s">
        <v>1054</v>
      </c>
      <c r="C515" s="242">
        <v>174.69</v>
      </c>
      <c r="D515" s="242">
        <v>69.88</v>
      </c>
      <c r="E515" s="242">
        <v>69.87</v>
      </c>
      <c r="F515" s="242">
        <v>75.12</v>
      </c>
      <c r="G515" s="242">
        <v>75.12</v>
      </c>
      <c r="H515" s="242">
        <v>75.11</v>
      </c>
      <c r="I515" s="242">
        <v>75.12</v>
      </c>
      <c r="J515" s="242">
        <v>75.12</v>
      </c>
      <c r="K515" s="242">
        <v>75.11</v>
      </c>
      <c r="L515" s="242">
        <v>75.12</v>
      </c>
      <c r="M515" s="242">
        <v>75.12</v>
      </c>
      <c r="N515" s="242">
        <v>1335.78</v>
      </c>
      <c r="O515" s="242">
        <v>2251.16</v>
      </c>
    </row>
    <row r="516" spans="1:15" x14ac:dyDescent="0.25">
      <c r="A516" s="241" t="s">
        <v>1487</v>
      </c>
      <c r="B516" s="241" t="s">
        <v>1488</v>
      </c>
      <c r="C516" s="242">
        <v>-30</v>
      </c>
      <c r="D516" s="243"/>
      <c r="E516" s="243"/>
      <c r="F516" s="243"/>
      <c r="G516" s="243"/>
      <c r="H516" s="243"/>
      <c r="I516" s="243"/>
      <c r="J516" s="243"/>
      <c r="K516" s="243"/>
      <c r="L516" s="243"/>
      <c r="M516" s="243"/>
      <c r="N516" s="243"/>
      <c r="O516" s="242">
        <v>-30</v>
      </c>
    </row>
    <row r="517" spans="1:15" x14ac:dyDescent="0.25">
      <c r="A517" s="241" t="s">
        <v>1055</v>
      </c>
      <c r="B517" s="241" t="s">
        <v>1056</v>
      </c>
      <c r="C517" s="242">
        <v>285492.18</v>
      </c>
      <c r="D517" s="242">
        <v>245180.84</v>
      </c>
      <c r="E517" s="242">
        <v>244072.49</v>
      </c>
      <c r="F517" s="242">
        <v>287502.18</v>
      </c>
      <c r="G517" s="242">
        <v>282776.82</v>
      </c>
      <c r="H517" s="242">
        <v>315485.37</v>
      </c>
      <c r="I517" s="242">
        <v>295593.27</v>
      </c>
      <c r="J517" s="242">
        <v>258296.57</v>
      </c>
      <c r="K517" s="242">
        <v>253455.15</v>
      </c>
      <c r="L517" s="242">
        <v>294673.75</v>
      </c>
      <c r="M517" s="242">
        <v>311560.7</v>
      </c>
      <c r="N517" s="242">
        <v>216978.79</v>
      </c>
      <c r="O517" s="242">
        <v>3291068.11</v>
      </c>
    </row>
    <row r="518" spans="1:15" x14ac:dyDescent="0.25">
      <c r="A518" s="241" t="s">
        <v>1057</v>
      </c>
      <c r="B518" s="241" t="s">
        <v>1058</v>
      </c>
      <c r="C518" s="242">
        <v>38099.74</v>
      </c>
      <c r="D518" s="242">
        <v>35752.9</v>
      </c>
      <c r="E518" s="242">
        <v>52190.77</v>
      </c>
      <c r="F518" s="242">
        <v>70764.350000000006</v>
      </c>
      <c r="G518" s="242">
        <v>76257.22</v>
      </c>
      <c r="H518" s="242">
        <v>86227.38</v>
      </c>
      <c r="I518" s="242">
        <v>77998.83</v>
      </c>
      <c r="J518" s="242">
        <v>54758.31</v>
      </c>
      <c r="K518" s="242">
        <v>48504.21</v>
      </c>
      <c r="L518" s="242">
        <v>48482.31</v>
      </c>
      <c r="M518" s="242">
        <v>42460.52</v>
      </c>
      <c r="N518" s="242">
        <v>39829.050000000003</v>
      </c>
      <c r="O518" s="242">
        <v>671325.59</v>
      </c>
    </row>
    <row r="519" spans="1:15" x14ac:dyDescent="0.25">
      <c r="A519" s="241" t="s">
        <v>1059</v>
      </c>
      <c r="B519" s="241" t="s">
        <v>1060</v>
      </c>
      <c r="C519" s="242">
        <v>154883.64000000001</v>
      </c>
      <c r="D519" s="242">
        <v>137761.15</v>
      </c>
      <c r="E519" s="242">
        <v>138558.59</v>
      </c>
      <c r="F519" s="242">
        <v>196765.59</v>
      </c>
      <c r="G519" s="242">
        <v>171789.11</v>
      </c>
      <c r="H519" s="242">
        <v>164405.93</v>
      </c>
      <c r="I519" s="242">
        <v>155109.37</v>
      </c>
      <c r="J519" s="242">
        <v>171249.2</v>
      </c>
      <c r="K519" s="242">
        <v>168553.77</v>
      </c>
      <c r="L519" s="242">
        <v>144807.78</v>
      </c>
      <c r="M519" s="242">
        <v>166393.72</v>
      </c>
      <c r="N519" s="242">
        <v>174948.04</v>
      </c>
      <c r="O519" s="242">
        <v>1945225.89</v>
      </c>
    </row>
    <row r="520" spans="1:15" x14ac:dyDescent="0.25">
      <c r="A520" s="241" t="s">
        <v>1061</v>
      </c>
      <c r="B520" s="241" t="s">
        <v>1062</v>
      </c>
      <c r="C520" s="242">
        <v>118800.1</v>
      </c>
      <c r="D520" s="242">
        <v>161367.51999999999</v>
      </c>
      <c r="E520" s="242">
        <v>168412.94</v>
      </c>
      <c r="F520" s="242">
        <v>158969.19</v>
      </c>
      <c r="G520" s="242">
        <v>135222.1</v>
      </c>
      <c r="H520" s="242">
        <v>90664.12</v>
      </c>
      <c r="I520" s="242">
        <v>97241.48</v>
      </c>
      <c r="J520" s="242">
        <v>77120.06</v>
      </c>
      <c r="K520" s="242">
        <v>78298.63</v>
      </c>
      <c r="L520" s="242">
        <v>63772.36</v>
      </c>
      <c r="M520" s="242">
        <v>72674.45</v>
      </c>
      <c r="N520" s="242">
        <v>71679.56</v>
      </c>
      <c r="O520" s="242">
        <v>1294222.51</v>
      </c>
    </row>
    <row r="521" spans="1:15" x14ac:dyDescent="0.25">
      <c r="A521" s="241" t="s">
        <v>1063</v>
      </c>
      <c r="B521" s="241" t="s">
        <v>1064</v>
      </c>
      <c r="C521" s="242">
        <v>39757.18</v>
      </c>
      <c r="D521" s="242">
        <v>56898.79</v>
      </c>
      <c r="E521" s="242">
        <v>34531.870000000003</v>
      </c>
      <c r="F521" s="242">
        <v>40304.97</v>
      </c>
      <c r="G521" s="242">
        <v>42805.61</v>
      </c>
      <c r="H521" s="242">
        <v>82488.5</v>
      </c>
      <c r="I521" s="242">
        <v>54609.21</v>
      </c>
      <c r="J521" s="242">
        <v>34861.01</v>
      </c>
      <c r="K521" s="242">
        <v>46349.69</v>
      </c>
      <c r="L521" s="242">
        <v>63614.9</v>
      </c>
      <c r="M521" s="242">
        <v>45443.02</v>
      </c>
      <c r="N521" s="242">
        <v>51811.07</v>
      </c>
      <c r="O521" s="242">
        <v>593475.81999999995</v>
      </c>
    </row>
    <row r="522" spans="1:15" x14ac:dyDescent="0.25">
      <c r="A522" s="241" t="s">
        <v>1065</v>
      </c>
      <c r="B522" s="241" t="s">
        <v>1066</v>
      </c>
      <c r="C522" s="242">
        <v>903.96</v>
      </c>
      <c r="D522" s="242">
        <v>903.96</v>
      </c>
      <c r="E522" s="242">
        <v>903.96</v>
      </c>
      <c r="F522" s="242">
        <v>903.96</v>
      </c>
      <c r="G522" s="242">
        <v>903.96</v>
      </c>
      <c r="H522" s="242">
        <v>903.96</v>
      </c>
      <c r="I522" s="242">
        <v>903.96</v>
      </c>
      <c r="J522" s="242">
        <v>903.96</v>
      </c>
      <c r="K522" s="242">
        <v>903.96</v>
      </c>
      <c r="L522" s="242">
        <v>903.96</v>
      </c>
      <c r="M522" s="242">
        <v>903.96</v>
      </c>
      <c r="N522" s="242">
        <v>903.96</v>
      </c>
      <c r="O522" s="242">
        <v>10847.52</v>
      </c>
    </row>
    <row r="523" spans="1:15" x14ac:dyDescent="0.25">
      <c r="A523" s="241" t="s">
        <v>1433</v>
      </c>
      <c r="B523" s="241" t="s">
        <v>1417</v>
      </c>
      <c r="C523" s="242">
        <v>1119.3900000000001</v>
      </c>
      <c r="D523" s="242">
        <v>4364.78</v>
      </c>
      <c r="E523" s="242">
        <v>62935.67</v>
      </c>
      <c r="F523" s="242">
        <v>20693.599999999999</v>
      </c>
      <c r="G523" s="242">
        <v>15378.58</v>
      </c>
      <c r="H523" s="242">
        <v>6038.04</v>
      </c>
      <c r="I523" s="242">
        <v>2178.87</v>
      </c>
      <c r="J523" s="242">
        <v>-15.31</v>
      </c>
      <c r="K523" s="242">
        <v>1323.37</v>
      </c>
      <c r="L523" s="242">
        <v>2807.15</v>
      </c>
      <c r="M523" s="242">
        <v>-324.33999999999997</v>
      </c>
      <c r="N523" s="242">
        <v>242.1</v>
      </c>
      <c r="O523" s="242">
        <v>116741.9</v>
      </c>
    </row>
    <row r="524" spans="1:15" x14ac:dyDescent="0.25">
      <c r="A524" s="241" t="s">
        <v>1615</v>
      </c>
      <c r="B524" s="241" t="s">
        <v>875</v>
      </c>
      <c r="C524" s="243"/>
      <c r="D524" s="243"/>
      <c r="E524" s="243"/>
      <c r="F524" s="243"/>
      <c r="G524" s="243"/>
      <c r="H524" s="243"/>
      <c r="I524" s="243"/>
      <c r="J524" s="243"/>
      <c r="K524" s="242">
        <v>267.85000000000002</v>
      </c>
      <c r="L524" s="243"/>
      <c r="M524" s="243"/>
      <c r="N524" s="243"/>
      <c r="O524" s="242">
        <v>267.85000000000002</v>
      </c>
    </row>
    <row r="525" spans="1:15" x14ac:dyDescent="0.25">
      <c r="A525" s="241" t="s">
        <v>1448</v>
      </c>
      <c r="B525" s="241" t="s">
        <v>878</v>
      </c>
      <c r="C525" s="243"/>
      <c r="D525" s="243"/>
      <c r="E525" s="243"/>
      <c r="F525" s="243"/>
      <c r="G525" s="243"/>
      <c r="H525" s="242">
        <v>15.95</v>
      </c>
      <c r="I525" s="243"/>
      <c r="J525" s="243"/>
      <c r="K525" s="243"/>
      <c r="L525" s="243"/>
      <c r="M525" s="243"/>
      <c r="N525" s="243"/>
      <c r="O525" s="242">
        <v>15.95</v>
      </c>
    </row>
    <row r="526" spans="1:15" x14ac:dyDescent="0.25">
      <c r="A526" s="241" t="s">
        <v>1067</v>
      </c>
      <c r="B526" s="241" t="s">
        <v>880</v>
      </c>
      <c r="C526" s="242">
        <v>620.32000000000005</v>
      </c>
      <c r="D526" s="242">
        <v>2766.53</v>
      </c>
      <c r="E526" s="242">
        <v>2618.0700000000002</v>
      </c>
      <c r="F526" s="242">
        <v>1011.81</v>
      </c>
      <c r="G526" s="243"/>
      <c r="H526" s="242">
        <v>339.17</v>
      </c>
      <c r="I526" s="242">
        <v>1006.62</v>
      </c>
      <c r="J526" s="242">
        <v>364.81</v>
      </c>
      <c r="K526" s="242">
        <v>836.57</v>
      </c>
      <c r="L526" s="242">
        <v>1489.49</v>
      </c>
      <c r="M526" s="242">
        <v>623.65</v>
      </c>
      <c r="N526" s="242">
        <v>1709</v>
      </c>
      <c r="O526" s="242">
        <v>13386.04</v>
      </c>
    </row>
    <row r="527" spans="1:15" x14ac:dyDescent="0.25">
      <c r="A527" s="241" t="s">
        <v>1068</v>
      </c>
      <c r="B527" s="241" t="s">
        <v>883</v>
      </c>
      <c r="C527" s="242">
        <v>238</v>
      </c>
      <c r="D527" s="242">
        <v>750.26</v>
      </c>
      <c r="E527" s="242">
        <v>474.27</v>
      </c>
      <c r="F527" s="242">
        <v>199.59</v>
      </c>
      <c r="G527" s="242">
        <v>229.33</v>
      </c>
      <c r="H527" s="242">
        <v>391.61</v>
      </c>
      <c r="I527" s="242">
        <v>329.77</v>
      </c>
      <c r="J527" s="242">
        <v>229.17</v>
      </c>
      <c r="K527" s="242">
        <v>307.32</v>
      </c>
      <c r="L527" s="242">
        <v>311.39</v>
      </c>
      <c r="M527" s="242">
        <v>75.64</v>
      </c>
      <c r="N527" s="242">
        <v>465.82</v>
      </c>
      <c r="O527" s="242">
        <v>4002.17</v>
      </c>
    </row>
    <row r="528" spans="1:15" x14ac:dyDescent="0.25">
      <c r="A528" s="241" t="s">
        <v>1069</v>
      </c>
      <c r="B528" s="241" t="s">
        <v>885</v>
      </c>
      <c r="C528" s="242">
        <v>360.55</v>
      </c>
      <c r="D528" s="242">
        <v>238.86</v>
      </c>
      <c r="E528" s="242">
        <v>407.79</v>
      </c>
      <c r="F528" s="242">
        <v>76.209999999999994</v>
      </c>
      <c r="G528" s="242">
        <v>77.55</v>
      </c>
      <c r="H528" s="242">
        <v>225.4</v>
      </c>
      <c r="I528" s="242">
        <v>524.79999999999995</v>
      </c>
      <c r="J528" s="242">
        <v>678.77</v>
      </c>
      <c r="K528" s="242">
        <v>634.91</v>
      </c>
      <c r="L528" s="242">
        <v>1926.97</v>
      </c>
      <c r="M528" s="242">
        <v>779.7</v>
      </c>
      <c r="N528" s="242">
        <v>1699.21</v>
      </c>
      <c r="O528" s="242">
        <v>7630.72</v>
      </c>
    </row>
    <row r="529" spans="1:15" x14ac:dyDescent="0.25">
      <c r="A529" s="241" t="s">
        <v>1070</v>
      </c>
      <c r="B529" s="241" t="s">
        <v>887</v>
      </c>
      <c r="C529" s="242">
        <v>764.52</v>
      </c>
      <c r="D529" s="242">
        <v>1437.25</v>
      </c>
      <c r="E529" s="242">
        <v>632.85</v>
      </c>
      <c r="F529" s="242">
        <v>1699.01</v>
      </c>
      <c r="G529" s="242">
        <v>1442.47</v>
      </c>
      <c r="H529" s="242">
        <v>2046.14</v>
      </c>
      <c r="I529" s="242">
        <v>2904.86</v>
      </c>
      <c r="J529" s="242">
        <v>3074.16</v>
      </c>
      <c r="K529" s="242">
        <v>2134.61</v>
      </c>
      <c r="L529" s="242">
        <v>2891.83</v>
      </c>
      <c r="M529" s="242">
        <v>2667.7</v>
      </c>
      <c r="N529" s="242">
        <v>2381.3200000000002</v>
      </c>
      <c r="O529" s="242">
        <v>24076.720000000001</v>
      </c>
    </row>
    <row r="530" spans="1:15" x14ac:dyDescent="0.25">
      <c r="A530" s="241" t="s">
        <v>1071</v>
      </c>
      <c r="B530" s="241" t="s">
        <v>890</v>
      </c>
      <c r="C530" s="243"/>
      <c r="D530" s="243"/>
      <c r="E530" s="243"/>
      <c r="F530" s="242">
        <v>85.58</v>
      </c>
      <c r="G530" s="243"/>
      <c r="H530" s="243"/>
      <c r="I530" s="242">
        <v>1470</v>
      </c>
      <c r="J530" s="242">
        <v>100</v>
      </c>
      <c r="K530" s="243"/>
      <c r="L530" s="243"/>
      <c r="M530" s="242">
        <v>200</v>
      </c>
      <c r="N530" s="243"/>
      <c r="O530" s="242">
        <v>1855.58</v>
      </c>
    </row>
    <row r="531" spans="1:15" x14ac:dyDescent="0.25">
      <c r="A531" s="241" t="s">
        <v>1072</v>
      </c>
      <c r="B531" s="241" t="s">
        <v>892</v>
      </c>
      <c r="C531" s="243"/>
      <c r="D531" s="243"/>
      <c r="E531" s="242">
        <v>45.46</v>
      </c>
      <c r="F531" s="243"/>
      <c r="G531" s="242">
        <v>308.64</v>
      </c>
      <c r="H531" s="242">
        <v>137.94999999999999</v>
      </c>
      <c r="I531" s="242">
        <v>709.89</v>
      </c>
      <c r="J531" s="243"/>
      <c r="K531" s="242">
        <v>189.8</v>
      </c>
      <c r="L531" s="242">
        <v>127.91</v>
      </c>
      <c r="M531" s="242">
        <v>61.29</v>
      </c>
      <c r="N531" s="242">
        <v>33.35</v>
      </c>
      <c r="O531" s="242">
        <v>1614.29</v>
      </c>
    </row>
    <row r="532" spans="1:15" x14ac:dyDescent="0.25">
      <c r="A532" s="241" t="s">
        <v>1073</v>
      </c>
      <c r="B532" s="241" t="s">
        <v>1074</v>
      </c>
      <c r="C532" s="244">
        <v>1186.26</v>
      </c>
      <c r="D532" s="244">
        <v>1491.8</v>
      </c>
      <c r="E532" s="244">
        <v>1205.9000000000001</v>
      </c>
      <c r="F532" s="244">
        <v>1482.02</v>
      </c>
      <c r="G532" s="244">
        <v>1078.71</v>
      </c>
      <c r="H532" s="244">
        <v>1635.5</v>
      </c>
      <c r="I532" s="244">
        <v>1160.8699999999999</v>
      </c>
      <c r="J532" s="244">
        <v>1215.3499999999999</v>
      </c>
      <c r="K532" s="244">
        <v>1215.0999999999999</v>
      </c>
      <c r="L532" s="244">
        <v>1995.3</v>
      </c>
      <c r="M532" s="244">
        <v>1099.22</v>
      </c>
      <c r="N532" s="244">
        <v>1059.44</v>
      </c>
      <c r="O532" s="244">
        <v>15825.47</v>
      </c>
    </row>
    <row r="533" spans="1:15" x14ac:dyDescent="0.25">
      <c r="A533" s="239"/>
      <c r="B533" s="239" t="s">
        <v>1075</v>
      </c>
      <c r="C533" s="245">
        <v>1142292.21</v>
      </c>
      <c r="D533" s="245">
        <v>1147412.68</v>
      </c>
      <c r="E533" s="245">
        <v>1170567.71</v>
      </c>
      <c r="F533" s="245">
        <v>1331362.43</v>
      </c>
      <c r="G533" s="245">
        <v>1207427.3999999999</v>
      </c>
      <c r="H533" s="245">
        <v>1255820</v>
      </c>
      <c r="I533" s="245">
        <v>1248677.52</v>
      </c>
      <c r="J533" s="245">
        <v>1157080.24</v>
      </c>
      <c r="K533" s="245">
        <v>1115890.19</v>
      </c>
      <c r="L533" s="245">
        <v>1119277.08</v>
      </c>
      <c r="M533" s="245">
        <v>1162788.24</v>
      </c>
      <c r="N533" s="245">
        <v>1131751.77</v>
      </c>
      <c r="O533" s="245">
        <v>14190347.470000001</v>
      </c>
    </row>
    <row r="534" spans="1:15" x14ac:dyDescent="0.25">
      <c r="A534" s="235"/>
      <c r="B534" s="235"/>
      <c r="C534" s="236"/>
      <c r="D534" s="236"/>
      <c r="E534" s="236"/>
      <c r="F534" s="236"/>
      <c r="G534" s="236"/>
      <c r="H534" s="236"/>
      <c r="I534" s="236"/>
      <c r="J534" s="236"/>
      <c r="K534" s="236"/>
      <c r="L534" s="236"/>
      <c r="M534" s="236"/>
      <c r="N534" s="236"/>
      <c r="O534" s="236"/>
    </row>
    <row r="535" spans="1:15" x14ac:dyDescent="0.25">
      <c r="A535" s="239"/>
      <c r="B535" s="239" t="s">
        <v>577</v>
      </c>
      <c r="C535" s="240"/>
      <c r="D535" s="240"/>
      <c r="E535" s="240"/>
      <c r="F535" s="240"/>
      <c r="G535" s="240"/>
      <c r="H535" s="240"/>
      <c r="I535" s="240"/>
      <c r="J535" s="240"/>
      <c r="K535" s="240"/>
      <c r="L535" s="240"/>
      <c r="M535" s="240"/>
      <c r="N535" s="240"/>
      <c r="O535" s="240"/>
    </row>
    <row r="536" spans="1:15" x14ac:dyDescent="0.25">
      <c r="A536" s="241" t="s">
        <v>1592</v>
      </c>
      <c r="B536" s="241" t="s">
        <v>923</v>
      </c>
      <c r="C536" s="246"/>
      <c r="D536" s="246"/>
      <c r="E536" s="246"/>
      <c r="F536" s="246"/>
      <c r="G536" s="246"/>
      <c r="H536" s="246"/>
      <c r="I536" s="244">
        <v>158.78</v>
      </c>
      <c r="J536" s="246"/>
      <c r="K536" s="246"/>
      <c r="L536" s="246"/>
      <c r="M536" s="246"/>
      <c r="N536" s="244">
        <v>40</v>
      </c>
      <c r="O536" s="244">
        <v>198.78</v>
      </c>
    </row>
    <row r="537" spans="1:15" x14ac:dyDescent="0.25">
      <c r="A537" s="239"/>
      <c r="B537" s="239" t="s">
        <v>1593</v>
      </c>
      <c r="C537" s="240"/>
      <c r="D537" s="240"/>
      <c r="E537" s="240"/>
      <c r="F537" s="240"/>
      <c r="G537" s="240"/>
      <c r="H537" s="240"/>
      <c r="I537" s="245">
        <v>158.78</v>
      </c>
      <c r="J537" s="240"/>
      <c r="K537" s="240"/>
      <c r="L537" s="240"/>
      <c r="M537" s="240"/>
      <c r="N537" s="245">
        <v>40</v>
      </c>
      <c r="O537" s="245">
        <v>198.78</v>
      </c>
    </row>
    <row r="538" spans="1:15" x14ac:dyDescent="0.25">
      <c r="A538" s="235"/>
      <c r="B538" s="235"/>
      <c r="C538" s="236"/>
      <c r="D538" s="236"/>
      <c r="E538" s="236"/>
      <c r="F538" s="236"/>
      <c r="G538" s="236"/>
      <c r="H538" s="236"/>
      <c r="I538" s="236"/>
      <c r="J538" s="236"/>
      <c r="K538" s="236"/>
      <c r="L538" s="236"/>
      <c r="M538" s="236"/>
      <c r="N538" s="236"/>
      <c r="O538" s="236"/>
    </row>
    <row r="539" spans="1:15" x14ac:dyDescent="0.25">
      <c r="A539" s="239"/>
      <c r="B539" s="239" t="s">
        <v>1076</v>
      </c>
      <c r="C539" s="240"/>
      <c r="D539" s="240"/>
      <c r="E539" s="240"/>
      <c r="F539" s="240"/>
      <c r="G539" s="240"/>
      <c r="H539" s="240"/>
      <c r="I539" s="240"/>
      <c r="J539" s="240"/>
      <c r="K539" s="240"/>
      <c r="L539" s="240"/>
      <c r="M539" s="240"/>
      <c r="N539" s="240"/>
      <c r="O539" s="240"/>
    </row>
    <row r="540" spans="1:15" x14ac:dyDescent="0.25">
      <c r="A540" s="241" t="s">
        <v>1077</v>
      </c>
      <c r="B540" s="241" t="s">
        <v>997</v>
      </c>
      <c r="C540" s="242">
        <v>129513.67</v>
      </c>
      <c r="D540" s="242">
        <v>130394.15</v>
      </c>
      <c r="E540" s="242">
        <v>120683.18</v>
      </c>
      <c r="F540" s="242">
        <v>139209.21</v>
      </c>
      <c r="G540" s="242">
        <v>141694.14000000001</v>
      </c>
      <c r="H540" s="242">
        <v>139625.63</v>
      </c>
      <c r="I540" s="242">
        <v>150323.64000000001</v>
      </c>
      <c r="J540" s="242">
        <v>127637.81</v>
      </c>
      <c r="K540" s="242">
        <v>142719.81</v>
      </c>
      <c r="L540" s="242">
        <v>140606.01999999999</v>
      </c>
      <c r="M540" s="242">
        <v>145607.47</v>
      </c>
      <c r="N540" s="242">
        <v>133528.76999999999</v>
      </c>
      <c r="O540" s="242">
        <v>1641543.5</v>
      </c>
    </row>
    <row r="541" spans="1:15" x14ac:dyDescent="0.25">
      <c r="A541" s="241" t="s">
        <v>1078</v>
      </c>
      <c r="B541" s="241" t="s">
        <v>841</v>
      </c>
      <c r="C541" s="242">
        <v>85678.96</v>
      </c>
      <c r="D541" s="242">
        <v>93108.79</v>
      </c>
      <c r="E541" s="242">
        <v>77492.289999999994</v>
      </c>
      <c r="F541" s="242">
        <v>90126.98</v>
      </c>
      <c r="G541" s="242">
        <v>95766.57</v>
      </c>
      <c r="H541" s="242">
        <v>90031.43</v>
      </c>
      <c r="I541" s="242">
        <v>108794.56</v>
      </c>
      <c r="J541" s="242">
        <v>100769.13</v>
      </c>
      <c r="K541" s="242">
        <v>107790.3</v>
      </c>
      <c r="L541" s="242">
        <v>88450.2</v>
      </c>
      <c r="M541" s="242">
        <v>87456.26</v>
      </c>
      <c r="N541" s="242">
        <v>95493.51</v>
      </c>
      <c r="O541" s="242">
        <v>1120958.98</v>
      </c>
    </row>
    <row r="542" spans="1:15" x14ac:dyDescent="0.25">
      <c r="A542" s="241" t="s">
        <v>1079</v>
      </c>
      <c r="B542" s="241" t="s">
        <v>847</v>
      </c>
      <c r="C542" s="242">
        <v>150</v>
      </c>
      <c r="D542" s="242">
        <v>1285</v>
      </c>
      <c r="E542" s="242">
        <v>2015</v>
      </c>
      <c r="F542" s="242">
        <v>2470</v>
      </c>
      <c r="G542" s="242">
        <v>855</v>
      </c>
      <c r="H542" s="242">
        <v>1635</v>
      </c>
      <c r="I542" s="242">
        <v>1933.33</v>
      </c>
      <c r="J542" s="242">
        <v>850</v>
      </c>
      <c r="K542" s="242">
        <v>1625</v>
      </c>
      <c r="L542" s="242">
        <v>1615</v>
      </c>
      <c r="M542" s="242">
        <v>3486</v>
      </c>
      <c r="N542" s="242">
        <v>3475</v>
      </c>
      <c r="O542" s="242">
        <v>21394.33</v>
      </c>
    </row>
    <row r="543" spans="1:15" x14ac:dyDescent="0.25">
      <c r="A543" s="241" t="s">
        <v>1572</v>
      </c>
      <c r="B543" s="241" t="s">
        <v>848</v>
      </c>
      <c r="C543" s="243"/>
      <c r="D543" s="243"/>
      <c r="E543" s="243"/>
      <c r="F543" s="243"/>
      <c r="G543" s="243"/>
      <c r="H543" s="242">
        <v>15.7</v>
      </c>
      <c r="I543" s="243"/>
      <c r="J543" s="243"/>
      <c r="K543" s="242">
        <v>141</v>
      </c>
      <c r="L543" s="242">
        <v>19.43</v>
      </c>
      <c r="M543" s="243"/>
      <c r="N543" s="243"/>
      <c r="O543" s="242">
        <v>176.13</v>
      </c>
    </row>
    <row r="544" spans="1:15" x14ac:dyDescent="0.25">
      <c r="A544" s="241" t="s">
        <v>1080</v>
      </c>
      <c r="B544" s="241" t="s">
        <v>850</v>
      </c>
      <c r="C544" s="242">
        <v>12664.25</v>
      </c>
      <c r="D544" s="242">
        <v>17291.62</v>
      </c>
      <c r="E544" s="242">
        <v>18388.900000000001</v>
      </c>
      <c r="F544" s="242">
        <v>17831.84</v>
      </c>
      <c r="G544" s="242">
        <v>14737.8</v>
      </c>
      <c r="H544" s="242">
        <v>11462.14</v>
      </c>
      <c r="I544" s="242">
        <v>23521.279999999999</v>
      </c>
      <c r="J544" s="242">
        <v>10498.14</v>
      </c>
      <c r="K544" s="242">
        <v>14903.41</v>
      </c>
      <c r="L544" s="242">
        <v>13673.74</v>
      </c>
      <c r="M544" s="242">
        <v>21826.400000000001</v>
      </c>
      <c r="N544" s="242">
        <v>17018.939999999999</v>
      </c>
      <c r="O544" s="242">
        <v>193818.46</v>
      </c>
    </row>
    <row r="545" spans="1:15" x14ac:dyDescent="0.25">
      <c r="A545" s="241" t="s">
        <v>1081</v>
      </c>
      <c r="B545" s="241" t="s">
        <v>852</v>
      </c>
      <c r="C545" s="242">
        <v>12947.29</v>
      </c>
      <c r="D545" s="242">
        <v>17176.98</v>
      </c>
      <c r="E545" s="242">
        <v>12134.29</v>
      </c>
      <c r="F545" s="242">
        <v>18236.900000000001</v>
      </c>
      <c r="G545" s="242">
        <v>9818.43</v>
      </c>
      <c r="H545" s="242">
        <v>4752.3999999999996</v>
      </c>
      <c r="I545" s="242">
        <v>6859.72</v>
      </c>
      <c r="J545" s="242">
        <v>6494.32</v>
      </c>
      <c r="K545" s="242">
        <v>5417.94</v>
      </c>
      <c r="L545" s="242">
        <v>14618.52</v>
      </c>
      <c r="M545" s="242">
        <v>16041</v>
      </c>
      <c r="N545" s="242">
        <v>21444.31</v>
      </c>
      <c r="O545" s="242">
        <v>145942.1</v>
      </c>
    </row>
    <row r="546" spans="1:15" x14ac:dyDescent="0.25">
      <c r="A546" s="241" t="s">
        <v>1082</v>
      </c>
      <c r="B546" s="241" t="s">
        <v>825</v>
      </c>
      <c r="C546" s="242">
        <v>17566.62</v>
      </c>
      <c r="D546" s="242">
        <v>19274.32</v>
      </c>
      <c r="E546" s="242">
        <v>17616.900000000001</v>
      </c>
      <c r="F546" s="242">
        <v>21918.81</v>
      </c>
      <c r="G546" s="242">
        <v>22158.959999999999</v>
      </c>
      <c r="H546" s="242">
        <v>19512.740000000002</v>
      </c>
      <c r="I546" s="242">
        <v>32542.78</v>
      </c>
      <c r="J546" s="242">
        <v>17610.32</v>
      </c>
      <c r="K546" s="242">
        <v>19874.96</v>
      </c>
      <c r="L546" s="242">
        <v>19975.2</v>
      </c>
      <c r="M546" s="242">
        <v>20650.169999999998</v>
      </c>
      <c r="N546" s="242">
        <v>20486.39</v>
      </c>
      <c r="O546" s="242">
        <v>249188.17</v>
      </c>
    </row>
    <row r="547" spans="1:15" x14ac:dyDescent="0.25">
      <c r="A547" s="241" t="s">
        <v>1083</v>
      </c>
      <c r="B547" s="241" t="s">
        <v>855</v>
      </c>
      <c r="C547" s="242">
        <v>1231.45</v>
      </c>
      <c r="D547" s="242">
        <v>430.56</v>
      </c>
      <c r="E547" s="242">
        <v>359.39</v>
      </c>
      <c r="F547" s="242">
        <v>1186.44</v>
      </c>
      <c r="G547" s="242">
        <v>604.61</v>
      </c>
      <c r="H547" s="242">
        <v>510.77</v>
      </c>
      <c r="I547" s="242">
        <v>916.89</v>
      </c>
      <c r="J547" s="242">
        <v>1254.48</v>
      </c>
      <c r="K547" s="242">
        <v>2139.4699999999998</v>
      </c>
      <c r="L547" s="242">
        <v>1629.85</v>
      </c>
      <c r="M547" s="242">
        <v>1742.13</v>
      </c>
      <c r="N547" s="242">
        <v>1488.28</v>
      </c>
      <c r="O547" s="242">
        <v>13494.32</v>
      </c>
    </row>
    <row r="548" spans="1:15" x14ac:dyDescent="0.25">
      <c r="A548" s="241" t="s">
        <v>1084</v>
      </c>
      <c r="B548" s="241" t="s">
        <v>857</v>
      </c>
      <c r="C548" s="242">
        <v>202.02</v>
      </c>
      <c r="D548" s="242">
        <v>172.7</v>
      </c>
      <c r="E548" s="242">
        <v>173.92</v>
      </c>
      <c r="F548" s="242">
        <v>67.150000000000006</v>
      </c>
      <c r="G548" s="242">
        <v>161.63</v>
      </c>
      <c r="H548" s="242">
        <v>347.72</v>
      </c>
      <c r="I548" s="242">
        <v>200.09</v>
      </c>
      <c r="J548" s="242">
        <v>95.26</v>
      </c>
      <c r="K548" s="242">
        <v>237.06</v>
      </c>
      <c r="L548" s="242">
        <v>61.16</v>
      </c>
      <c r="M548" s="242">
        <v>81.709999999999994</v>
      </c>
      <c r="N548" s="242">
        <v>259.87</v>
      </c>
      <c r="O548" s="242">
        <v>2060.29</v>
      </c>
    </row>
    <row r="549" spans="1:15" x14ac:dyDescent="0.25">
      <c r="A549" s="241" t="s">
        <v>1085</v>
      </c>
      <c r="B549" s="241" t="s">
        <v>923</v>
      </c>
      <c r="C549" s="242">
        <v>20556.099999999999</v>
      </c>
      <c r="D549" s="242">
        <v>17706.45</v>
      </c>
      <c r="E549" s="242">
        <v>13792.07</v>
      </c>
      <c r="F549" s="242">
        <v>23056.06</v>
      </c>
      <c r="G549" s="242">
        <v>14004.39</v>
      </c>
      <c r="H549" s="242">
        <v>17013.740000000002</v>
      </c>
      <c r="I549" s="242">
        <v>20052.919999999998</v>
      </c>
      <c r="J549" s="242">
        <v>19800.07</v>
      </c>
      <c r="K549" s="242">
        <v>23320.57</v>
      </c>
      <c r="L549" s="242">
        <v>17479.8</v>
      </c>
      <c r="M549" s="242">
        <v>22204.16</v>
      </c>
      <c r="N549" s="242">
        <v>19120.509999999998</v>
      </c>
      <c r="O549" s="242">
        <v>228106.84</v>
      </c>
    </row>
    <row r="550" spans="1:15" x14ac:dyDescent="0.25">
      <c r="A550" s="241" t="s">
        <v>1086</v>
      </c>
      <c r="B550" s="241" t="s">
        <v>865</v>
      </c>
      <c r="C550" s="242">
        <v>-450</v>
      </c>
      <c r="D550" s="243"/>
      <c r="E550" s="243"/>
      <c r="F550" s="242">
        <v>960</v>
      </c>
      <c r="G550" s="243"/>
      <c r="H550" s="242">
        <v>2633</v>
      </c>
      <c r="I550" s="242">
        <v>525</v>
      </c>
      <c r="J550" s="242">
        <v>480</v>
      </c>
      <c r="K550" s="242">
        <v>525</v>
      </c>
      <c r="L550" s="243"/>
      <c r="M550" s="242">
        <v>57</v>
      </c>
      <c r="N550" s="243"/>
      <c r="O550" s="242">
        <v>4730</v>
      </c>
    </row>
    <row r="551" spans="1:15" x14ac:dyDescent="0.25">
      <c r="A551" s="241" t="s">
        <v>1087</v>
      </c>
      <c r="B551" s="241" t="s">
        <v>867</v>
      </c>
      <c r="C551" s="242">
        <v>221.52</v>
      </c>
      <c r="D551" s="243"/>
      <c r="E551" s="242">
        <v>10</v>
      </c>
      <c r="F551" s="242">
        <v>240.43</v>
      </c>
      <c r="G551" s="242">
        <v>396.38</v>
      </c>
      <c r="H551" s="243"/>
      <c r="I551" s="242">
        <v>955.1</v>
      </c>
      <c r="J551" s="242">
        <v>161.09</v>
      </c>
      <c r="K551" s="243"/>
      <c r="L551" s="242">
        <v>604.17999999999995</v>
      </c>
      <c r="M551" s="242">
        <v>313.67</v>
      </c>
      <c r="N551" s="242">
        <v>21.07</v>
      </c>
      <c r="O551" s="242">
        <v>2923.44</v>
      </c>
    </row>
    <row r="552" spans="1:15" x14ac:dyDescent="0.25">
      <c r="A552" s="241" t="s">
        <v>1088</v>
      </c>
      <c r="B552" s="241" t="s">
        <v>591</v>
      </c>
      <c r="C552" s="242">
        <v>267.76</v>
      </c>
      <c r="D552" s="242">
        <v>781.11</v>
      </c>
      <c r="E552" s="242">
        <v>188.6</v>
      </c>
      <c r="F552" s="242">
        <v>493.51</v>
      </c>
      <c r="G552" s="242">
        <v>555.88</v>
      </c>
      <c r="H552" s="242">
        <v>342.23</v>
      </c>
      <c r="I552" s="242">
        <v>140.34</v>
      </c>
      <c r="J552" s="242">
        <v>637.66</v>
      </c>
      <c r="K552" s="242">
        <v>375.33</v>
      </c>
      <c r="L552" s="242">
        <v>616.26</v>
      </c>
      <c r="M552" s="242">
        <v>240.24</v>
      </c>
      <c r="N552" s="242">
        <v>311.10000000000002</v>
      </c>
      <c r="O552" s="242">
        <v>4950.0200000000004</v>
      </c>
    </row>
    <row r="553" spans="1:15" x14ac:dyDescent="0.25">
      <c r="A553" s="241" t="s">
        <v>1434</v>
      </c>
      <c r="B553" s="241" t="s">
        <v>1417</v>
      </c>
      <c r="C553" s="242">
        <v>91.54</v>
      </c>
      <c r="D553" s="242">
        <v>1409.27</v>
      </c>
      <c r="E553" s="242">
        <v>6046.87</v>
      </c>
      <c r="F553" s="242">
        <v>18538.939999999999</v>
      </c>
      <c r="G553" s="242">
        <v>5765.04</v>
      </c>
      <c r="H553" s="242">
        <v>709.94</v>
      </c>
      <c r="I553" s="242">
        <v>1511.76</v>
      </c>
      <c r="J553" s="242">
        <v>608.04</v>
      </c>
      <c r="K553" s="242">
        <v>206.57</v>
      </c>
      <c r="L553" s="242">
        <v>435.79</v>
      </c>
      <c r="M553" s="242">
        <v>956.5</v>
      </c>
      <c r="N553" s="242">
        <v>39.08</v>
      </c>
      <c r="O553" s="242">
        <v>36319.339999999997</v>
      </c>
    </row>
    <row r="554" spans="1:15" x14ac:dyDescent="0.25">
      <c r="A554" s="241" t="s">
        <v>1530</v>
      </c>
      <c r="B554" s="241" t="s">
        <v>872</v>
      </c>
      <c r="C554" s="243"/>
      <c r="D554" s="243"/>
      <c r="E554" s="243"/>
      <c r="F554" s="243"/>
      <c r="G554" s="242">
        <v>16.96</v>
      </c>
      <c r="H554" s="243"/>
      <c r="I554" s="243"/>
      <c r="J554" s="243"/>
      <c r="K554" s="243"/>
      <c r="L554" s="243"/>
      <c r="M554" s="243"/>
      <c r="N554" s="243"/>
      <c r="O554" s="242">
        <v>16.96</v>
      </c>
    </row>
    <row r="555" spans="1:15" x14ac:dyDescent="0.25">
      <c r="A555" s="241" t="s">
        <v>1089</v>
      </c>
      <c r="B555" s="241" t="s">
        <v>875</v>
      </c>
      <c r="C555" s="242">
        <v>853.95</v>
      </c>
      <c r="D555" s="242">
        <v>779.52</v>
      </c>
      <c r="E555" s="242">
        <v>1343.66</v>
      </c>
      <c r="F555" s="242">
        <v>302.64</v>
      </c>
      <c r="G555" s="242">
        <v>1284.8599999999999</v>
      </c>
      <c r="H555" s="242">
        <v>1140.71</v>
      </c>
      <c r="I555" s="242">
        <v>10871.46</v>
      </c>
      <c r="J555" s="242">
        <v>11336.67</v>
      </c>
      <c r="K555" s="242">
        <v>13095.59</v>
      </c>
      <c r="L555" s="242">
        <v>8584.5</v>
      </c>
      <c r="M555" s="242">
        <v>12319.89</v>
      </c>
      <c r="N555" s="242">
        <v>8358.65</v>
      </c>
      <c r="O555" s="242">
        <v>70272.100000000006</v>
      </c>
    </row>
    <row r="556" spans="1:15" x14ac:dyDescent="0.25">
      <c r="A556" s="241" t="s">
        <v>1090</v>
      </c>
      <c r="B556" s="241" t="s">
        <v>1091</v>
      </c>
      <c r="C556" s="242">
        <v>2612.29</v>
      </c>
      <c r="D556" s="242">
        <v>4005.94</v>
      </c>
      <c r="E556" s="242">
        <v>6082.32</v>
      </c>
      <c r="F556" s="242">
        <v>-6717.94</v>
      </c>
      <c r="G556" s="242">
        <v>2293.96</v>
      </c>
      <c r="H556" s="242">
        <v>2794.59</v>
      </c>
      <c r="I556" s="242">
        <v>6439.26</v>
      </c>
      <c r="J556" s="242">
        <v>3717.14</v>
      </c>
      <c r="K556" s="242">
        <v>7319.05</v>
      </c>
      <c r="L556" s="242">
        <v>12795.64</v>
      </c>
      <c r="M556" s="242">
        <v>4996.8599999999997</v>
      </c>
      <c r="N556" s="242">
        <v>6103.43</v>
      </c>
      <c r="O556" s="242">
        <v>52442.54</v>
      </c>
    </row>
    <row r="557" spans="1:15" x14ac:dyDescent="0.25">
      <c r="A557" s="241" t="s">
        <v>1489</v>
      </c>
      <c r="B557" s="241" t="s">
        <v>877</v>
      </c>
      <c r="C557" s="242">
        <v>1000</v>
      </c>
      <c r="D557" s="243"/>
      <c r="E557" s="243"/>
      <c r="F557" s="243"/>
      <c r="G557" s="243"/>
      <c r="H557" s="243"/>
      <c r="I557" s="243"/>
      <c r="J557" s="243"/>
      <c r="K557" s="243"/>
      <c r="L557" s="243"/>
      <c r="M557" s="243"/>
      <c r="N557" s="243"/>
      <c r="O557" s="242">
        <v>1000</v>
      </c>
    </row>
    <row r="558" spans="1:15" x14ac:dyDescent="0.25">
      <c r="A558" s="241" t="s">
        <v>1092</v>
      </c>
      <c r="B558" s="241" t="s">
        <v>880</v>
      </c>
      <c r="C558" s="243"/>
      <c r="D558" s="243"/>
      <c r="E558" s="242">
        <v>272.08999999999997</v>
      </c>
      <c r="F558" s="243"/>
      <c r="G558" s="242">
        <v>193.28</v>
      </c>
      <c r="H558" s="242">
        <v>93.16</v>
      </c>
      <c r="I558" s="243"/>
      <c r="J558" s="243"/>
      <c r="K558" s="243"/>
      <c r="L558" s="242">
        <v>310.13</v>
      </c>
      <c r="M558" s="243"/>
      <c r="N558" s="243"/>
      <c r="O558" s="242">
        <v>868.66</v>
      </c>
    </row>
    <row r="559" spans="1:15" x14ac:dyDescent="0.25">
      <c r="A559" s="241" t="s">
        <v>1093</v>
      </c>
      <c r="B559" s="241" t="s">
        <v>881</v>
      </c>
      <c r="C559" s="242">
        <v>62.48</v>
      </c>
      <c r="D559" s="243"/>
      <c r="E559" s="243"/>
      <c r="F559" s="242">
        <v>30.73</v>
      </c>
      <c r="G559" s="242">
        <v>24.71</v>
      </c>
      <c r="H559" s="243"/>
      <c r="I559" s="242">
        <v>33.880000000000003</v>
      </c>
      <c r="J559" s="242">
        <v>28.59</v>
      </c>
      <c r="K559" s="243"/>
      <c r="L559" s="243"/>
      <c r="M559" s="242">
        <v>31.78</v>
      </c>
      <c r="N559" s="243"/>
      <c r="O559" s="242">
        <v>212.17</v>
      </c>
    </row>
    <row r="560" spans="1:15" x14ac:dyDescent="0.25">
      <c r="A560" s="241" t="s">
        <v>1094</v>
      </c>
      <c r="B560" s="241" t="s">
        <v>883</v>
      </c>
      <c r="C560" s="242">
        <v>302.35000000000002</v>
      </c>
      <c r="D560" s="242">
        <v>317.33999999999997</v>
      </c>
      <c r="E560" s="243"/>
      <c r="F560" s="242">
        <v>1021.05</v>
      </c>
      <c r="G560" s="242">
        <v>723.76</v>
      </c>
      <c r="H560" s="242">
        <v>376.83</v>
      </c>
      <c r="I560" s="242">
        <v>40.450000000000003</v>
      </c>
      <c r="J560" s="243"/>
      <c r="K560" s="243"/>
      <c r="L560" s="243"/>
      <c r="M560" s="242">
        <v>56.85</v>
      </c>
      <c r="N560" s="243"/>
      <c r="O560" s="242">
        <v>2838.63</v>
      </c>
    </row>
    <row r="561" spans="1:15" x14ac:dyDescent="0.25">
      <c r="A561" s="241" t="s">
        <v>1095</v>
      </c>
      <c r="B561" s="241" t="s">
        <v>885</v>
      </c>
      <c r="C561" s="242">
        <v>75.959999999999994</v>
      </c>
      <c r="D561" s="242">
        <v>289.43</v>
      </c>
      <c r="E561" s="242">
        <v>284.36</v>
      </c>
      <c r="F561" s="242">
        <v>130.46</v>
      </c>
      <c r="G561" s="242">
        <v>209.85</v>
      </c>
      <c r="H561" s="243"/>
      <c r="I561" s="242">
        <v>123.02</v>
      </c>
      <c r="J561" s="242">
        <v>187.01</v>
      </c>
      <c r="K561" s="242">
        <v>309.45999999999998</v>
      </c>
      <c r="L561" s="242">
        <v>310.33</v>
      </c>
      <c r="M561" s="242">
        <v>387.72</v>
      </c>
      <c r="N561" s="242">
        <v>156.09</v>
      </c>
      <c r="O561" s="242">
        <v>2463.69</v>
      </c>
    </row>
    <row r="562" spans="1:15" x14ac:dyDescent="0.25">
      <c r="A562" s="241" t="s">
        <v>1096</v>
      </c>
      <c r="B562" s="241" t="s">
        <v>887</v>
      </c>
      <c r="C562" s="242">
        <v>66.98</v>
      </c>
      <c r="D562" s="243"/>
      <c r="E562" s="243"/>
      <c r="F562" s="243"/>
      <c r="G562" s="243"/>
      <c r="H562" s="243"/>
      <c r="I562" s="242">
        <v>123.02</v>
      </c>
      <c r="J562" s="243"/>
      <c r="K562" s="242">
        <v>35.909999999999997</v>
      </c>
      <c r="L562" s="243"/>
      <c r="M562" s="243"/>
      <c r="N562" s="243"/>
      <c r="O562" s="242">
        <v>225.91</v>
      </c>
    </row>
    <row r="563" spans="1:15" x14ac:dyDescent="0.25">
      <c r="A563" s="241" t="s">
        <v>1419</v>
      </c>
      <c r="B563" s="241" t="s">
        <v>889</v>
      </c>
      <c r="C563" s="242">
        <v>59.89</v>
      </c>
      <c r="D563" s="243"/>
      <c r="E563" s="243"/>
      <c r="F563" s="242">
        <v>24.37</v>
      </c>
      <c r="G563" s="242">
        <v>124.88</v>
      </c>
      <c r="H563" s="243"/>
      <c r="I563" s="243"/>
      <c r="J563" s="242">
        <v>12.19</v>
      </c>
      <c r="K563" s="242">
        <v>53.5</v>
      </c>
      <c r="L563" s="242">
        <v>63.6</v>
      </c>
      <c r="M563" s="243"/>
      <c r="N563" s="242">
        <v>497.57</v>
      </c>
      <c r="O563" s="242">
        <v>836</v>
      </c>
    </row>
    <row r="564" spans="1:15" x14ac:dyDescent="0.25">
      <c r="A564" s="241" t="s">
        <v>1097</v>
      </c>
      <c r="B564" s="241" t="s">
        <v>890</v>
      </c>
      <c r="C564" s="242">
        <v>8108.96</v>
      </c>
      <c r="D564" s="242">
        <v>271.19</v>
      </c>
      <c r="E564" s="242">
        <v>170.57</v>
      </c>
      <c r="F564" s="242">
        <v>132.66999999999999</v>
      </c>
      <c r="G564" s="242">
        <v>342.49</v>
      </c>
      <c r="H564" s="242">
        <v>180.94</v>
      </c>
      <c r="I564" s="242">
        <v>208.6</v>
      </c>
      <c r="J564" s="242">
        <v>235.22</v>
      </c>
      <c r="K564" s="242">
        <v>13.69</v>
      </c>
      <c r="L564" s="242">
        <v>48.15</v>
      </c>
      <c r="M564" s="242">
        <v>70.47</v>
      </c>
      <c r="N564" s="242">
        <v>7916.84</v>
      </c>
      <c r="O564" s="242">
        <v>17699.79</v>
      </c>
    </row>
    <row r="565" spans="1:15" x14ac:dyDescent="0.25">
      <c r="A565" s="241" t="s">
        <v>1394</v>
      </c>
      <c r="B565" s="241" t="s">
        <v>892</v>
      </c>
      <c r="C565" s="244">
        <v>95.81</v>
      </c>
      <c r="D565" s="244">
        <v>11.54</v>
      </c>
      <c r="E565" s="246"/>
      <c r="F565" s="244">
        <v>7.16</v>
      </c>
      <c r="G565" s="244">
        <v>281.86</v>
      </c>
      <c r="H565" s="246"/>
      <c r="I565" s="244">
        <v>-7.16</v>
      </c>
      <c r="J565" s="244">
        <v>12.6</v>
      </c>
      <c r="K565" s="246"/>
      <c r="L565" s="246"/>
      <c r="M565" s="246"/>
      <c r="N565" s="246"/>
      <c r="O565" s="244">
        <v>401.81</v>
      </c>
    </row>
    <row r="566" spans="1:15" x14ac:dyDescent="0.25">
      <c r="A566" s="239"/>
      <c r="B566" s="239" t="s">
        <v>1098</v>
      </c>
      <c r="C566" s="245">
        <v>293879.84999999998</v>
      </c>
      <c r="D566" s="245">
        <v>304705.90999999997</v>
      </c>
      <c r="E566" s="245">
        <v>277054.40999999997</v>
      </c>
      <c r="F566" s="245">
        <v>329267.40999999997</v>
      </c>
      <c r="G566" s="245">
        <v>312015.44</v>
      </c>
      <c r="H566" s="245">
        <v>293178.67</v>
      </c>
      <c r="I566" s="245">
        <v>366109.94</v>
      </c>
      <c r="J566" s="245">
        <v>302425.74</v>
      </c>
      <c r="K566" s="245">
        <v>340103.62</v>
      </c>
      <c r="L566" s="245">
        <v>321897.5</v>
      </c>
      <c r="M566" s="245">
        <v>338526.28</v>
      </c>
      <c r="N566" s="245">
        <v>335719.41</v>
      </c>
      <c r="O566" s="245">
        <v>3814884.18</v>
      </c>
    </row>
    <row r="567" spans="1:15" x14ac:dyDescent="0.25">
      <c r="A567" s="235"/>
      <c r="B567" s="235"/>
      <c r="C567" s="236"/>
      <c r="D567" s="236"/>
      <c r="E567" s="236"/>
      <c r="F567" s="236"/>
      <c r="G567" s="236"/>
      <c r="H567" s="236"/>
      <c r="I567" s="236"/>
      <c r="J567" s="236"/>
      <c r="K567" s="236"/>
      <c r="L567" s="236"/>
      <c r="M567" s="236"/>
      <c r="N567" s="236"/>
      <c r="O567" s="236"/>
    </row>
    <row r="568" spans="1:15" x14ac:dyDescent="0.25">
      <c r="A568" s="239"/>
      <c r="B568" s="239" t="s">
        <v>1099</v>
      </c>
      <c r="C568" s="240"/>
      <c r="D568" s="240"/>
      <c r="E568" s="240"/>
      <c r="F568" s="240"/>
      <c r="G568" s="240"/>
      <c r="H568" s="240"/>
      <c r="I568" s="240"/>
      <c r="J568" s="240"/>
      <c r="K568" s="240"/>
      <c r="L568" s="240"/>
      <c r="M568" s="240"/>
      <c r="N568" s="240"/>
      <c r="O568" s="240"/>
    </row>
    <row r="569" spans="1:15" x14ac:dyDescent="0.25">
      <c r="A569" s="241" t="s">
        <v>1100</v>
      </c>
      <c r="B569" s="241" t="s">
        <v>997</v>
      </c>
      <c r="C569" s="242">
        <v>144130.35</v>
      </c>
      <c r="D569" s="242">
        <v>147567.69</v>
      </c>
      <c r="E569" s="242">
        <v>142494.65</v>
      </c>
      <c r="F569" s="242">
        <v>148144.10999999999</v>
      </c>
      <c r="G569" s="242">
        <v>157295.57999999999</v>
      </c>
      <c r="H569" s="242">
        <v>144671.9</v>
      </c>
      <c r="I569" s="242">
        <v>169062.98</v>
      </c>
      <c r="J569" s="242">
        <v>156505.19</v>
      </c>
      <c r="K569" s="242">
        <v>167471.54</v>
      </c>
      <c r="L569" s="242">
        <v>157237.91</v>
      </c>
      <c r="M569" s="242">
        <v>153521.88</v>
      </c>
      <c r="N569" s="242">
        <v>155497.71</v>
      </c>
      <c r="O569" s="242">
        <v>1843601.49</v>
      </c>
    </row>
    <row r="570" spans="1:15" x14ac:dyDescent="0.25">
      <c r="A570" s="241" t="s">
        <v>1101</v>
      </c>
      <c r="B570" s="241" t="s">
        <v>841</v>
      </c>
      <c r="C570" s="242">
        <v>36343.79</v>
      </c>
      <c r="D570" s="242">
        <v>35897.01</v>
      </c>
      <c r="E570" s="242">
        <v>27123.59</v>
      </c>
      <c r="F570" s="242">
        <v>40059.19</v>
      </c>
      <c r="G570" s="242">
        <v>39089.120000000003</v>
      </c>
      <c r="H570" s="242">
        <v>36924.379999999997</v>
      </c>
      <c r="I570" s="242">
        <v>37169.81</v>
      </c>
      <c r="J570" s="242">
        <v>41673.74</v>
      </c>
      <c r="K570" s="242">
        <v>40394.239999999998</v>
      </c>
      <c r="L570" s="242">
        <v>35363.279999999999</v>
      </c>
      <c r="M570" s="242">
        <v>30040.19</v>
      </c>
      <c r="N570" s="242">
        <v>34480.39</v>
      </c>
      <c r="O570" s="242">
        <v>434558.73</v>
      </c>
    </row>
    <row r="571" spans="1:15" x14ac:dyDescent="0.25">
      <c r="A571" s="241" t="s">
        <v>1102</v>
      </c>
      <c r="B571" s="241" t="s">
        <v>847</v>
      </c>
      <c r="C571" s="242">
        <v>487.06</v>
      </c>
      <c r="D571" s="242">
        <v>824.12</v>
      </c>
      <c r="E571" s="242">
        <v>1035</v>
      </c>
      <c r="F571" s="242">
        <v>507.06</v>
      </c>
      <c r="G571" s="242">
        <v>400</v>
      </c>
      <c r="H571" s="242">
        <v>75</v>
      </c>
      <c r="I571" s="243"/>
      <c r="J571" s="242">
        <v>55.77</v>
      </c>
      <c r="K571" s="242">
        <v>575</v>
      </c>
      <c r="L571" s="242">
        <v>100</v>
      </c>
      <c r="M571" s="242">
        <v>950</v>
      </c>
      <c r="N571" s="242">
        <v>50</v>
      </c>
      <c r="O571" s="242">
        <v>5059.01</v>
      </c>
    </row>
    <row r="572" spans="1:15" x14ac:dyDescent="0.25">
      <c r="A572" s="241" t="s">
        <v>1636</v>
      </c>
      <c r="B572" s="241" t="s">
        <v>848</v>
      </c>
      <c r="C572" s="243"/>
      <c r="D572" s="243"/>
      <c r="E572" s="243"/>
      <c r="F572" s="243"/>
      <c r="G572" s="243"/>
      <c r="H572" s="243"/>
      <c r="I572" s="243"/>
      <c r="J572" s="243"/>
      <c r="K572" s="243"/>
      <c r="L572" s="243"/>
      <c r="M572" s="243"/>
      <c r="N572" s="242">
        <v>10.5</v>
      </c>
      <c r="O572" s="242">
        <v>10.5</v>
      </c>
    </row>
    <row r="573" spans="1:15" x14ac:dyDescent="0.25">
      <c r="A573" s="241" t="s">
        <v>1103</v>
      </c>
      <c r="B573" s="241" t="s">
        <v>850</v>
      </c>
      <c r="C573" s="242">
        <v>5620.64</v>
      </c>
      <c r="D573" s="242">
        <v>12055.04</v>
      </c>
      <c r="E573" s="242">
        <v>5928.82</v>
      </c>
      <c r="F573" s="242">
        <v>6655.39</v>
      </c>
      <c r="G573" s="242">
        <v>14090.89</v>
      </c>
      <c r="H573" s="242">
        <v>8212.85</v>
      </c>
      <c r="I573" s="242">
        <v>13258.18</v>
      </c>
      <c r="J573" s="242">
        <v>7610.78</v>
      </c>
      <c r="K573" s="242">
        <v>10299.25</v>
      </c>
      <c r="L573" s="242">
        <v>9198.33</v>
      </c>
      <c r="M573" s="242">
        <v>11294.94</v>
      </c>
      <c r="N573" s="242">
        <v>9776.8700000000008</v>
      </c>
      <c r="O573" s="242">
        <v>114001.98</v>
      </c>
    </row>
    <row r="574" spans="1:15" x14ac:dyDescent="0.25">
      <c r="A574" s="241" t="s">
        <v>1104</v>
      </c>
      <c r="B574" s="241" t="s">
        <v>852</v>
      </c>
      <c r="C574" s="242">
        <v>15713.28</v>
      </c>
      <c r="D574" s="242">
        <v>11999.84</v>
      </c>
      <c r="E574" s="242">
        <v>12986.59</v>
      </c>
      <c r="F574" s="242">
        <v>23303.68</v>
      </c>
      <c r="G574" s="242">
        <v>3171.35</v>
      </c>
      <c r="H574" s="242">
        <v>3298.69</v>
      </c>
      <c r="I574" s="242">
        <v>3465.02</v>
      </c>
      <c r="J574" s="242">
        <v>10228.959999999999</v>
      </c>
      <c r="K574" s="242">
        <v>9598.83</v>
      </c>
      <c r="L574" s="242">
        <v>16767.12</v>
      </c>
      <c r="M574" s="242">
        <v>17514.71</v>
      </c>
      <c r="N574" s="242">
        <v>9082.2900000000009</v>
      </c>
      <c r="O574" s="242">
        <v>137130.35999999999</v>
      </c>
    </row>
    <row r="575" spans="1:15" x14ac:dyDescent="0.25">
      <c r="A575" s="241" t="s">
        <v>1105</v>
      </c>
      <c r="B575" s="241" t="s">
        <v>825</v>
      </c>
      <c r="C575" s="242">
        <v>14680.71</v>
      </c>
      <c r="D575" s="242">
        <v>15435.26</v>
      </c>
      <c r="E575" s="242">
        <v>15947.54</v>
      </c>
      <c r="F575" s="242">
        <v>17287.93</v>
      </c>
      <c r="G575" s="242">
        <v>18093.560000000001</v>
      </c>
      <c r="H575" s="242">
        <v>15094.86</v>
      </c>
      <c r="I575" s="242">
        <v>24629.61</v>
      </c>
      <c r="J575" s="242">
        <v>13700.16</v>
      </c>
      <c r="K575" s="242">
        <v>16188.55</v>
      </c>
      <c r="L575" s="242">
        <v>16212.41</v>
      </c>
      <c r="M575" s="242">
        <v>15847.59</v>
      </c>
      <c r="N575" s="242">
        <v>15398.92</v>
      </c>
      <c r="O575" s="242">
        <v>198517.1</v>
      </c>
    </row>
    <row r="576" spans="1:15" x14ac:dyDescent="0.25">
      <c r="A576" s="241" t="s">
        <v>1106</v>
      </c>
      <c r="B576" s="241" t="s">
        <v>857</v>
      </c>
      <c r="C576" s="242">
        <v>5.83</v>
      </c>
      <c r="D576" s="242">
        <v>17.420000000000002</v>
      </c>
      <c r="E576" s="243"/>
      <c r="F576" s="242">
        <v>26.08</v>
      </c>
      <c r="G576" s="242">
        <v>33.659999999999997</v>
      </c>
      <c r="H576" s="242">
        <v>10.76</v>
      </c>
      <c r="I576" s="243"/>
      <c r="J576" s="242">
        <v>46.08</v>
      </c>
      <c r="K576" s="243"/>
      <c r="L576" s="242">
        <v>8.27</v>
      </c>
      <c r="M576" s="243"/>
      <c r="N576" s="243"/>
      <c r="O576" s="242">
        <v>148.1</v>
      </c>
    </row>
    <row r="577" spans="1:15" x14ac:dyDescent="0.25">
      <c r="A577" s="241" t="s">
        <v>1107</v>
      </c>
      <c r="B577" s="241" t="s">
        <v>923</v>
      </c>
      <c r="C577" s="243"/>
      <c r="D577" s="242">
        <v>47.24</v>
      </c>
      <c r="E577" s="243"/>
      <c r="F577" s="243"/>
      <c r="G577" s="243"/>
      <c r="H577" s="243"/>
      <c r="I577" s="243"/>
      <c r="J577" s="243"/>
      <c r="K577" s="243"/>
      <c r="L577" s="242">
        <v>1771.2</v>
      </c>
      <c r="M577" s="242">
        <v>1202.6099999999999</v>
      </c>
      <c r="N577" s="243"/>
      <c r="O577" s="242">
        <v>3021.05</v>
      </c>
    </row>
    <row r="578" spans="1:15" x14ac:dyDescent="0.25">
      <c r="A578" s="241" t="s">
        <v>1531</v>
      </c>
      <c r="B578" s="241" t="s">
        <v>867</v>
      </c>
      <c r="C578" s="243"/>
      <c r="D578" s="243"/>
      <c r="E578" s="243"/>
      <c r="F578" s="243"/>
      <c r="G578" s="242">
        <v>91.09</v>
      </c>
      <c r="H578" s="243"/>
      <c r="I578" s="243"/>
      <c r="J578" s="243"/>
      <c r="K578" s="243"/>
      <c r="L578" s="243"/>
      <c r="M578" s="243"/>
      <c r="N578" s="243"/>
      <c r="O578" s="242">
        <v>91.09</v>
      </c>
    </row>
    <row r="579" spans="1:15" x14ac:dyDescent="0.25">
      <c r="A579" s="241" t="s">
        <v>1435</v>
      </c>
      <c r="B579" s="241" t="s">
        <v>1417</v>
      </c>
      <c r="C579" s="242">
        <v>310.76</v>
      </c>
      <c r="D579" s="242">
        <v>1465.9</v>
      </c>
      <c r="E579" s="242">
        <v>24189.82</v>
      </c>
      <c r="F579" s="242">
        <v>13673.02</v>
      </c>
      <c r="G579" s="242">
        <v>6750.9</v>
      </c>
      <c r="H579" s="242">
        <v>413.39</v>
      </c>
      <c r="I579" s="242">
        <v>543.04</v>
      </c>
      <c r="J579" s="242">
        <v>961.34</v>
      </c>
      <c r="K579" s="242">
        <v>224.59</v>
      </c>
      <c r="L579" s="242">
        <v>305.24</v>
      </c>
      <c r="M579" s="242">
        <v>333</v>
      </c>
      <c r="N579" s="242">
        <v>185.53</v>
      </c>
      <c r="O579" s="242">
        <v>49356.53</v>
      </c>
    </row>
    <row r="580" spans="1:15" x14ac:dyDescent="0.25">
      <c r="A580" s="241" t="s">
        <v>1498</v>
      </c>
      <c r="B580" s="241" t="s">
        <v>885</v>
      </c>
      <c r="C580" s="246"/>
      <c r="D580" s="246"/>
      <c r="E580" s="244">
        <v>376.01</v>
      </c>
      <c r="F580" s="246"/>
      <c r="G580" s="246"/>
      <c r="H580" s="246"/>
      <c r="I580" s="246"/>
      <c r="J580" s="246"/>
      <c r="K580" s="244">
        <v>326.49</v>
      </c>
      <c r="L580" s="246"/>
      <c r="M580" s="246"/>
      <c r="N580" s="246"/>
      <c r="O580" s="244">
        <v>702.5</v>
      </c>
    </row>
    <row r="581" spans="1:15" x14ac:dyDescent="0.25">
      <c r="A581" s="239"/>
      <c r="B581" s="239" t="s">
        <v>1108</v>
      </c>
      <c r="C581" s="245">
        <v>217292.42</v>
      </c>
      <c r="D581" s="245">
        <v>225309.52</v>
      </c>
      <c r="E581" s="245">
        <v>230082.02</v>
      </c>
      <c r="F581" s="245">
        <v>249656.46</v>
      </c>
      <c r="G581" s="245">
        <v>239016.15</v>
      </c>
      <c r="H581" s="245">
        <v>208701.83</v>
      </c>
      <c r="I581" s="245">
        <v>248128.64000000001</v>
      </c>
      <c r="J581" s="245">
        <v>230782.02</v>
      </c>
      <c r="K581" s="245">
        <v>245078.49</v>
      </c>
      <c r="L581" s="245">
        <v>236963.76</v>
      </c>
      <c r="M581" s="245">
        <v>230704.92</v>
      </c>
      <c r="N581" s="245">
        <v>224482.21</v>
      </c>
      <c r="O581" s="245">
        <v>2786198.44</v>
      </c>
    </row>
    <row r="582" spans="1:15" x14ac:dyDescent="0.25">
      <c r="A582" s="235"/>
      <c r="B582" s="235"/>
      <c r="C582" s="236"/>
      <c r="D582" s="236"/>
      <c r="E582" s="236"/>
      <c r="F582" s="236"/>
      <c r="G582" s="236"/>
      <c r="H582" s="236"/>
      <c r="I582" s="236"/>
      <c r="J582" s="236"/>
      <c r="K582" s="236"/>
      <c r="L582" s="236"/>
      <c r="M582" s="236"/>
      <c r="N582" s="236"/>
      <c r="O582" s="236"/>
    </row>
    <row r="583" spans="1:15" x14ac:dyDescent="0.25">
      <c r="A583" s="239"/>
      <c r="B583" s="239" t="s">
        <v>585</v>
      </c>
      <c r="C583" s="240"/>
      <c r="D583" s="240"/>
      <c r="E583" s="240"/>
      <c r="F583" s="240"/>
      <c r="G583" s="240"/>
      <c r="H583" s="240"/>
      <c r="I583" s="240"/>
      <c r="J583" s="240"/>
      <c r="K583" s="240"/>
      <c r="L583" s="240"/>
      <c r="M583" s="240"/>
      <c r="N583" s="240"/>
      <c r="O583" s="240"/>
    </row>
    <row r="584" spans="1:15" x14ac:dyDescent="0.25">
      <c r="A584" s="241" t="s">
        <v>1109</v>
      </c>
      <c r="B584" s="241" t="s">
        <v>1110</v>
      </c>
      <c r="C584" s="243"/>
      <c r="D584" s="243"/>
      <c r="E584" s="243"/>
      <c r="F584" s="243"/>
      <c r="G584" s="242">
        <v>-10340.209999999999</v>
      </c>
      <c r="H584" s="242">
        <v>3749.81</v>
      </c>
      <c r="I584" s="242">
        <v>6590.4</v>
      </c>
      <c r="J584" s="243"/>
      <c r="K584" s="243"/>
      <c r="L584" s="243"/>
      <c r="M584" s="243"/>
      <c r="N584" s="243"/>
      <c r="O584" s="243"/>
    </row>
    <row r="585" spans="1:15" x14ac:dyDescent="0.25">
      <c r="A585" s="241" t="s">
        <v>1111</v>
      </c>
      <c r="B585" s="241" t="s">
        <v>1112</v>
      </c>
      <c r="C585" s="243"/>
      <c r="D585" s="243"/>
      <c r="E585" s="243"/>
      <c r="F585" s="243"/>
      <c r="G585" s="242">
        <v>427.3</v>
      </c>
      <c r="H585" s="243"/>
      <c r="I585" s="242">
        <v>-427.3</v>
      </c>
      <c r="J585" s="243"/>
      <c r="K585" s="243"/>
      <c r="L585" s="243"/>
      <c r="M585" s="243"/>
      <c r="N585" s="243"/>
      <c r="O585" s="243"/>
    </row>
    <row r="586" spans="1:15" x14ac:dyDescent="0.25">
      <c r="A586" s="241" t="s">
        <v>1113</v>
      </c>
      <c r="B586" s="241" t="s">
        <v>852</v>
      </c>
      <c r="C586" s="243"/>
      <c r="D586" s="243"/>
      <c r="E586" s="242">
        <v>-1193.81</v>
      </c>
      <c r="F586" s="243"/>
      <c r="G586" s="243"/>
      <c r="H586" s="243"/>
      <c r="I586" s="243"/>
      <c r="J586" s="243"/>
      <c r="K586" s="243"/>
      <c r="L586" s="243"/>
      <c r="M586" s="243"/>
      <c r="N586" s="243"/>
      <c r="O586" s="242">
        <v>-1193.81</v>
      </c>
    </row>
    <row r="587" spans="1:15" x14ac:dyDescent="0.25">
      <c r="A587" s="241" t="s">
        <v>1632</v>
      </c>
      <c r="B587" s="241" t="s">
        <v>825</v>
      </c>
      <c r="C587" s="243"/>
      <c r="D587" s="243"/>
      <c r="E587" s="243"/>
      <c r="F587" s="243"/>
      <c r="G587" s="243"/>
      <c r="H587" s="243"/>
      <c r="I587" s="243"/>
      <c r="J587" s="243"/>
      <c r="K587" s="243"/>
      <c r="L587" s="243"/>
      <c r="M587" s="242">
        <v>-0.01</v>
      </c>
      <c r="N587" s="242">
        <v>0.01</v>
      </c>
      <c r="O587" s="243"/>
    </row>
    <row r="588" spans="1:15" x14ac:dyDescent="0.25">
      <c r="A588" s="241" t="s">
        <v>1114</v>
      </c>
      <c r="B588" s="241" t="s">
        <v>1115</v>
      </c>
      <c r="C588" s="242">
        <v>54572.13</v>
      </c>
      <c r="D588" s="242">
        <v>54781.56</v>
      </c>
      <c r="E588" s="242">
        <v>41528.199999999997</v>
      </c>
      <c r="F588" s="242">
        <v>39780.879999999997</v>
      </c>
      <c r="G588" s="242">
        <v>36749.21</v>
      </c>
      <c r="H588" s="242">
        <v>33848.949999999997</v>
      </c>
      <c r="I588" s="242">
        <v>37518.1</v>
      </c>
      <c r="J588" s="242">
        <v>45879.43</v>
      </c>
      <c r="K588" s="242">
        <v>42961.91</v>
      </c>
      <c r="L588" s="242">
        <v>47667.69</v>
      </c>
      <c r="M588" s="242">
        <v>46222.62</v>
      </c>
      <c r="N588" s="242">
        <v>37103.17</v>
      </c>
      <c r="O588" s="242">
        <v>518613.85</v>
      </c>
    </row>
    <row r="589" spans="1:15" x14ac:dyDescent="0.25">
      <c r="A589" s="241" t="s">
        <v>1116</v>
      </c>
      <c r="B589" s="241" t="s">
        <v>1117</v>
      </c>
      <c r="C589" s="242">
        <v>152220.6</v>
      </c>
      <c r="D589" s="242">
        <v>162885.75</v>
      </c>
      <c r="E589" s="242">
        <v>150549.6</v>
      </c>
      <c r="F589" s="242">
        <v>150825.9</v>
      </c>
      <c r="G589" s="242">
        <v>137181.9</v>
      </c>
      <c r="H589" s="242">
        <v>170963.55</v>
      </c>
      <c r="I589" s="242">
        <v>178454.39999999999</v>
      </c>
      <c r="J589" s="242">
        <v>172977.75</v>
      </c>
      <c r="K589" s="242">
        <v>179226.45</v>
      </c>
      <c r="L589" s="242">
        <v>317659.8</v>
      </c>
      <c r="M589" s="242">
        <v>187054.5</v>
      </c>
      <c r="N589" s="242">
        <v>157283.1</v>
      </c>
      <c r="O589" s="242">
        <v>2117283.2999999998</v>
      </c>
    </row>
    <row r="590" spans="1:15" x14ac:dyDescent="0.25">
      <c r="A590" s="241" t="s">
        <v>1118</v>
      </c>
      <c r="B590" s="241" t="s">
        <v>1119</v>
      </c>
      <c r="C590" s="242">
        <v>1020290.79</v>
      </c>
      <c r="D590" s="242">
        <v>1031611.43</v>
      </c>
      <c r="E590" s="242">
        <v>1092001.6599999999</v>
      </c>
      <c r="F590" s="242">
        <v>1182448.54</v>
      </c>
      <c r="G590" s="242">
        <v>1283840.26</v>
      </c>
      <c r="H590" s="242">
        <v>1063827.56</v>
      </c>
      <c r="I590" s="242">
        <v>973566.86</v>
      </c>
      <c r="J590" s="242">
        <v>893000.18</v>
      </c>
      <c r="K590" s="242">
        <v>843653.81</v>
      </c>
      <c r="L590" s="242">
        <v>797845</v>
      </c>
      <c r="M590" s="242">
        <v>876375.77</v>
      </c>
      <c r="N590" s="242">
        <v>851763.08</v>
      </c>
      <c r="O590" s="242">
        <v>11910224.939999999</v>
      </c>
    </row>
    <row r="591" spans="1:15" x14ac:dyDescent="0.25">
      <c r="A591" s="241" t="s">
        <v>1120</v>
      </c>
      <c r="B591" s="241" t="s">
        <v>1121</v>
      </c>
      <c r="C591" s="242">
        <v>759747</v>
      </c>
      <c r="D591" s="242">
        <v>669640.35</v>
      </c>
      <c r="E591" s="242">
        <v>484876.5</v>
      </c>
      <c r="F591" s="242">
        <v>459401.33</v>
      </c>
      <c r="G591" s="242">
        <v>424733.53</v>
      </c>
      <c r="H591" s="242">
        <v>459451.09</v>
      </c>
      <c r="I591" s="242">
        <v>716729.5</v>
      </c>
      <c r="J591" s="242">
        <v>659538.22</v>
      </c>
      <c r="K591" s="242">
        <v>611696.98</v>
      </c>
      <c r="L591" s="242">
        <v>528142.51</v>
      </c>
      <c r="M591" s="242">
        <v>653542.67000000004</v>
      </c>
      <c r="N591" s="242">
        <v>665611.31000000006</v>
      </c>
      <c r="O591" s="242">
        <v>7093110.9900000002</v>
      </c>
    </row>
    <row r="592" spans="1:15" x14ac:dyDescent="0.25">
      <c r="A592" s="241" t="s">
        <v>1122</v>
      </c>
      <c r="B592" s="241" t="s">
        <v>1123</v>
      </c>
      <c r="C592" s="242">
        <v>228631.6</v>
      </c>
      <c r="D592" s="242">
        <v>208557.2</v>
      </c>
      <c r="E592" s="242">
        <v>185834.73</v>
      </c>
      <c r="F592" s="242">
        <v>172892.64</v>
      </c>
      <c r="G592" s="242">
        <v>266841.51</v>
      </c>
      <c r="H592" s="242">
        <v>255649.26</v>
      </c>
      <c r="I592" s="242">
        <v>311179.07</v>
      </c>
      <c r="J592" s="242">
        <v>275365.71999999997</v>
      </c>
      <c r="K592" s="242">
        <v>291311.99</v>
      </c>
      <c r="L592" s="242">
        <v>285978.48</v>
      </c>
      <c r="M592" s="242">
        <v>308617.38</v>
      </c>
      <c r="N592" s="242">
        <v>316057.96000000002</v>
      </c>
      <c r="O592" s="242">
        <v>3106917.54</v>
      </c>
    </row>
    <row r="593" spans="1:15" x14ac:dyDescent="0.25">
      <c r="A593" s="241" t="s">
        <v>1124</v>
      </c>
      <c r="B593" s="241" t="s">
        <v>1125</v>
      </c>
      <c r="C593" s="242">
        <v>6702.55</v>
      </c>
      <c r="D593" s="242">
        <v>8983.1</v>
      </c>
      <c r="E593" s="242">
        <v>9121.93</v>
      </c>
      <c r="F593" s="242">
        <v>3999.9</v>
      </c>
      <c r="G593" s="242">
        <v>4553.1099999999997</v>
      </c>
      <c r="H593" s="242">
        <v>1820.4</v>
      </c>
      <c r="I593" s="242">
        <v>3180.15</v>
      </c>
      <c r="J593" s="242">
        <v>5172.6000000000004</v>
      </c>
      <c r="K593" s="242">
        <v>2482.86</v>
      </c>
      <c r="L593" s="242">
        <v>2255.4</v>
      </c>
      <c r="M593" s="242">
        <v>2043.45</v>
      </c>
      <c r="N593" s="242">
        <v>2533.1999999999998</v>
      </c>
      <c r="O593" s="242">
        <v>52848.65</v>
      </c>
    </row>
    <row r="594" spans="1:15" x14ac:dyDescent="0.25">
      <c r="A594" s="241" t="s">
        <v>1126</v>
      </c>
      <c r="B594" s="241" t="s">
        <v>1127</v>
      </c>
      <c r="C594" s="242">
        <v>260828.71</v>
      </c>
      <c r="D594" s="242">
        <v>268054.95</v>
      </c>
      <c r="E594" s="242">
        <v>236925.05</v>
      </c>
      <c r="F594" s="242">
        <v>269474.28000000003</v>
      </c>
      <c r="G594" s="242">
        <v>381625.15</v>
      </c>
      <c r="H594" s="242">
        <v>359274.26</v>
      </c>
      <c r="I594" s="242">
        <v>405481.83</v>
      </c>
      <c r="J594" s="242">
        <v>312823.09999999998</v>
      </c>
      <c r="K594" s="242">
        <v>322847.26</v>
      </c>
      <c r="L594" s="242">
        <v>305295.40000000002</v>
      </c>
      <c r="M594" s="242">
        <v>246864.96</v>
      </c>
      <c r="N594" s="242">
        <v>255203.73</v>
      </c>
      <c r="O594" s="242">
        <v>3624698.68</v>
      </c>
    </row>
    <row r="595" spans="1:15" x14ac:dyDescent="0.25">
      <c r="A595" s="241" t="s">
        <v>1128</v>
      </c>
      <c r="B595" s="241" t="s">
        <v>1129</v>
      </c>
      <c r="C595" s="242">
        <v>139654.82</v>
      </c>
      <c r="D595" s="242">
        <v>144289.04</v>
      </c>
      <c r="E595" s="242">
        <v>116084.1</v>
      </c>
      <c r="F595" s="242">
        <v>152556.75</v>
      </c>
      <c r="G595" s="242">
        <v>147557.12</v>
      </c>
      <c r="H595" s="242">
        <v>136990.82</v>
      </c>
      <c r="I595" s="242">
        <v>184499.27</v>
      </c>
      <c r="J595" s="242">
        <v>185485.76</v>
      </c>
      <c r="K595" s="242">
        <v>186206.66</v>
      </c>
      <c r="L595" s="242">
        <v>185222</v>
      </c>
      <c r="M595" s="242">
        <v>172860.26</v>
      </c>
      <c r="N595" s="242">
        <v>145633.63</v>
      </c>
      <c r="O595" s="242">
        <v>1897040.23</v>
      </c>
    </row>
    <row r="596" spans="1:15" x14ac:dyDescent="0.25">
      <c r="A596" s="241" t="s">
        <v>1130</v>
      </c>
      <c r="B596" s="241" t="s">
        <v>1131</v>
      </c>
      <c r="C596" s="243"/>
      <c r="D596" s="243"/>
      <c r="E596" s="243"/>
      <c r="F596" s="242">
        <v>22764.22</v>
      </c>
      <c r="G596" s="242">
        <v>38842.82</v>
      </c>
      <c r="H596" s="242">
        <v>33272.26</v>
      </c>
      <c r="I596" s="242">
        <v>31560.76</v>
      </c>
      <c r="J596" s="242">
        <v>28463.15</v>
      </c>
      <c r="K596" s="242">
        <v>41451.32</v>
      </c>
      <c r="L596" s="242">
        <v>49016.99</v>
      </c>
      <c r="M596" s="242">
        <v>53719.33</v>
      </c>
      <c r="N596" s="242">
        <v>70235.289999999994</v>
      </c>
      <c r="O596" s="242">
        <v>369326.14</v>
      </c>
    </row>
    <row r="597" spans="1:15" x14ac:dyDescent="0.25">
      <c r="A597" s="241" t="s">
        <v>1132</v>
      </c>
      <c r="B597" s="241" t="s">
        <v>922</v>
      </c>
      <c r="C597" s="242">
        <v>-40.51</v>
      </c>
      <c r="D597" s="242">
        <v>-2.2000000000000002</v>
      </c>
      <c r="E597" s="242">
        <v>-24.96</v>
      </c>
      <c r="F597" s="242">
        <v>-29.76</v>
      </c>
      <c r="G597" s="242">
        <v>-47.86</v>
      </c>
      <c r="H597" s="242">
        <v>-106.41</v>
      </c>
      <c r="I597" s="242">
        <v>-112.88</v>
      </c>
      <c r="J597" s="242">
        <v>-47.16</v>
      </c>
      <c r="K597" s="242">
        <v>-12.08</v>
      </c>
      <c r="L597" s="242">
        <v>-169.15</v>
      </c>
      <c r="M597" s="242">
        <v>-182.08</v>
      </c>
      <c r="N597" s="242">
        <v>-107.95</v>
      </c>
      <c r="O597" s="242">
        <v>-883</v>
      </c>
    </row>
    <row r="598" spans="1:15" x14ac:dyDescent="0.25">
      <c r="A598" s="241" t="s">
        <v>1133</v>
      </c>
      <c r="B598" s="241" t="s">
        <v>923</v>
      </c>
      <c r="C598" s="242">
        <v>815.42</v>
      </c>
      <c r="D598" s="242">
        <v>642.77</v>
      </c>
      <c r="E598" s="242">
        <v>1005.97</v>
      </c>
      <c r="F598" s="242">
        <v>285.06</v>
      </c>
      <c r="G598" s="242">
        <v>650.9</v>
      </c>
      <c r="H598" s="242">
        <v>1022.9</v>
      </c>
      <c r="I598" s="242">
        <v>1669.2</v>
      </c>
      <c r="J598" s="242">
        <v>2569.09</v>
      </c>
      <c r="K598" s="242">
        <v>1926.31</v>
      </c>
      <c r="L598" s="242">
        <v>958.96</v>
      </c>
      <c r="M598" s="242">
        <v>1349.06</v>
      </c>
      <c r="N598" s="242">
        <v>2484.89</v>
      </c>
      <c r="O598" s="242">
        <v>15380.53</v>
      </c>
    </row>
    <row r="599" spans="1:15" x14ac:dyDescent="0.25">
      <c r="A599" s="241" t="s">
        <v>1626</v>
      </c>
      <c r="B599" s="241" t="s">
        <v>861</v>
      </c>
      <c r="C599" s="243"/>
      <c r="D599" s="243"/>
      <c r="E599" s="243"/>
      <c r="F599" s="243"/>
      <c r="G599" s="243"/>
      <c r="H599" s="243"/>
      <c r="I599" s="243"/>
      <c r="J599" s="243"/>
      <c r="K599" s="243"/>
      <c r="L599" s="242">
        <v>235.08</v>
      </c>
      <c r="M599" s="243"/>
      <c r="N599" s="243"/>
      <c r="O599" s="242">
        <v>235.08</v>
      </c>
    </row>
    <row r="600" spans="1:15" x14ac:dyDescent="0.25">
      <c r="A600" s="241" t="s">
        <v>1134</v>
      </c>
      <c r="B600" s="241" t="s">
        <v>867</v>
      </c>
      <c r="C600" s="242">
        <v>13473.72</v>
      </c>
      <c r="D600" s="242">
        <v>11106.87</v>
      </c>
      <c r="E600" s="242">
        <v>7946.34</v>
      </c>
      <c r="F600" s="242">
        <v>7353.59</v>
      </c>
      <c r="G600" s="242">
        <v>11407.19</v>
      </c>
      <c r="H600" s="242">
        <v>9669.35</v>
      </c>
      <c r="I600" s="242">
        <v>16953.580000000002</v>
      </c>
      <c r="J600" s="242">
        <v>12368.62</v>
      </c>
      <c r="K600" s="242">
        <v>11486.01</v>
      </c>
      <c r="L600" s="242">
        <v>10339.57</v>
      </c>
      <c r="M600" s="242">
        <v>10367.69</v>
      </c>
      <c r="N600" s="242">
        <v>16863.349999999999</v>
      </c>
      <c r="O600" s="242">
        <v>139335.88</v>
      </c>
    </row>
    <row r="601" spans="1:15" x14ac:dyDescent="0.25">
      <c r="A601" s="241" t="s">
        <v>1135</v>
      </c>
      <c r="B601" s="241" t="s">
        <v>591</v>
      </c>
      <c r="C601" s="242">
        <v>6000</v>
      </c>
      <c r="D601" s="242">
        <v>6000</v>
      </c>
      <c r="E601" s="242">
        <v>6600</v>
      </c>
      <c r="F601" s="242">
        <v>5400</v>
      </c>
      <c r="G601" s="242">
        <v>5400</v>
      </c>
      <c r="H601" s="242">
        <v>2400</v>
      </c>
      <c r="I601" s="242">
        <v>4200</v>
      </c>
      <c r="J601" s="242">
        <v>2400</v>
      </c>
      <c r="K601" s="242">
        <v>1200</v>
      </c>
      <c r="L601" s="242">
        <v>3600</v>
      </c>
      <c r="M601" s="242">
        <v>2400</v>
      </c>
      <c r="N601" s="242">
        <v>600</v>
      </c>
      <c r="O601" s="242">
        <v>46200</v>
      </c>
    </row>
    <row r="602" spans="1:15" x14ac:dyDescent="0.25">
      <c r="A602" s="241" t="s">
        <v>1136</v>
      </c>
      <c r="B602" s="241" t="s">
        <v>869</v>
      </c>
      <c r="C602" s="242">
        <v>635</v>
      </c>
      <c r="D602" s="242">
        <v>87.56</v>
      </c>
      <c r="E602" s="242">
        <v>825</v>
      </c>
      <c r="F602" s="242">
        <v>875</v>
      </c>
      <c r="G602" s="242">
        <v>-830</v>
      </c>
      <c r="H602" s="243"/>
      <c r="I602" s="242">
        <v>165</v>
      </c>
      <c r="J602" s="243"/>
      <c r="K602" s="242">
        <v>990</v>
      </c>
      <c r="L602" s="242">
        <v>640</v>
      </c>
      <c r="M602" s="242">
        <v>955</v>
      </c>
      <c r="N602" s="242">
        <v>3385</v>
      </c>
      <c r="O602" s="242">
        <v>7727.56</v>
      </c>
    </row>
    <row r="603" spans="1:15" x14ac:dyDescent="0.25">
      <c r="A603" s="241" t="s">
        <v>1436</v>
      </c>
      <c r="B603" s="241" t="s">
        <v>1417</v>
      </c>
      <c r="C603" s="242">
        <v>26741.01</v>
      </c>
      <c r="D603" s="242">
        <v>17459.59</v>
      </c>
      <c r="E603" s="242">
        <v>83609.56</v>
      </c>
      <c r="F603" s="242">
        <v>102868.56</v>
      </c>
      <c r="G603" s="242">
        <v>66480.95</v>
      </c>
      <c r="H603" s="242">
        <v>51845.440000000002</v>
      </c>
      <c r="I603" s="242">
        <v>32617.53</v>
      </c>
      <c r="J603" s="242">
        <v>-8964.8700000000008</v>
      </c>
      <c r="K603" s="242">
        <v>4793.26</v>
      </c>
      <c r="L603" s="242">
        <v>-606.41</v>
      </c>
      <c r="M603" s="242">
        <v>-265.39999999999998</v>
      </c>
      <c r="N603" s="242">
        <v>3383.48</v>
      </c>
      <c r="O603" s="242">
        <v>379962.7</v>
      </c>
    </row>
    <row r="604" spans="1:15" x14ac:dyDescent="0.25">
      <c r="A604" s="241" t="s">
        <v>1627</v>
      </c>
      <c r="B604" s="241" t="s">
        <v>875</v>
      </c>
      <c r="C604" s="243"/>
      <c r="D604" s="243"/>
      <c r="E604" s="243"/>
      <c r="F604" s="243"/>
      <c r="G604" s="243"/>
      <c r="H604" s="243"/>
      <c r="I604" s="243"/>
      <c r="J604" s="243"/>
      <c r="K604" s="243"/>
      <c r="L604" s="242">
        <v>96.3</v>
      </c>
      <c r="M604" s="243"/>
      <c r="N604" s="243"/>
      <c r="O604" s="242">
        <v>96.3</v>
      </c>
    </row>
    <row r="605" spans="1:15" x14ac:dyDescent="0.25">
      <c r="A605" s="241" t="s">
        <v>1138</v>
      </c>
      <c r="B605" s="241" t="s">
        <v>890</v>
      </c>
      <c r="C605" s="246"/>
      <c r="D605" s="244">
        <v>1226.27</v>
      </c>
      <c r="E605" s="246"/>
      <c r="F605" s="246"/>
      <c r="G605" s="244">
        <v>414.61</v>
      </c>
      <c r="H605" s="244">
        <v>53.07</v>
      </c>
      <c r="I605" s="244">
        <v>-467.68</v>
      </c>
      <c r="J605" s="246"/>
      <c r="K605" s="246"/>
      <c r="L605" s="246"/>
      <c r="M605" s="246"/>
      <c r="N605" s="246"/>
      <c r="O605" s="244">
        <v>1226.27</v>
      </c>
    </row>
    <row r="606" spans="1:15" x14ac:dyDescent="0.25">
      <c r="A606" s="239"/>
      <c r="B606" s="239" t="s">
        <v>1139</v>
      </c>
      <c r="C606" s="245">
        <v>2670272.84</v>
      </c>
      <c r="D606" s="245">
        <v>2585324.2400000002</v>
      </c>
      <c r="E606" s="245">
        <v>2415689.87</v>
      </c>
      <c r="F606" s="245">
        <v>2570896.89</v>
      </c>
      <c r="G606" s="245">
        <v>2795487.49</v>
      </c>
      <c r="H606" s="245">
        <v>2583732.31</v>
      </c>
      <c r="I606" s="245">
        <v>2903357.79</v>
      </c>
      <c r="J606" s="245">
        <v>2587031.59</v>
      </c>
      <c r="K606" s="245">
        <v>2542222.7400000002</v>
      </c>
      <c r="L606" s="245">
        <v>2534177.62</v>
      </c>
      <c r="M606" s="245">
        <v>2561925.2000000002</v>
      </c>
      <c r="N606" s="245">
        <v>2528033.25</v>
      </c>
      <c r="O606" s="245">
        <v>31278151.829999998</v>
      </c>
    </row>
    <row r="607" spans="1:15" x14ac:dyDescent="0.25">
      <c r="A607" s="235"/>
      <c r="B607" s="235"/>
      <c r="C607" s="236"/>
      <c r="D607" s="236"/>
      <c r="E607" s="236"/>
      <c r="F607" s="236"/>
      <c r="G607" s="236"/>
      <c r="H607" s="236"/>
      <c r="I607" s="236"/>
      <c r="J607" s="236"/>
      <c r="K607" s="236"/>
      <c r="L607" s="236"/>
      <c r="M607" s="236"/>
      <c r="N607" s="236"/>
      <c r="O607" s="236"/>
    </row>
    <row r="608" spans="1:15" x14ac:dyDescent="0.25">
      <c r="A608" s="239"/>
      <c r="B608" s="239" t="s">
        <v>589</v>
      </c>
      <c r="C608" s="240"/>
      <c r="D608" s="240"/>
      <c r="E608" s="240"/>
      <c r="F608" s="240"/>
      <c r="G608" s="240"/>
      <c r="H608" s="240"/>
      <c r="I608" s="240"/>
      <c r="J608" s="240"/>
      <c r="K608" s="240"/>
      <c r="L608" s="240"/>
      <c r="M608" s="240"/>
      <c r="N608" s="240"/>
      <c r="O608" s="240"/>
    </row>
    <row r="609" spans="1:15" x14ac:dyDescent="0.25">
      <c r="A609" s="241" t="s">
        <v>1140</v>
      </c>
      <c r="B609" s="241" t="s">
        <v>1110</v>
      </c>
      <c r="C609" s="242">
        <v>-0.25</v>
      </c>
      <c r="D609" s="243"/>
      <c r="E609" s="243"/>
      <c r="F609" s="243"/>
      <c r="G609" s="242">
        <v>-4073.3</v>
      </c>
      <c r="H609" s="242">
        <v>915.7</v>
      </c>
      <c r="I609" s="242">
        <v>3157.6</v>
      </c>
      <c r="J609" s="243"/>
      <c r="K609" s="243"/>
      <c r="L609" s="243"/>
      <c r="M609" s="243"/>
      <c r="N609" s="243"/>
      <c r="O609" s="242">
        <v>-0.25</v>
      </c>
    </row>
    <row r="610" spans="1:15" x14ac:dyDescent="0.25">
      <c r="A610" s="241" t="s">
        <v>1141</v>
      </c>
      <c r="B610" s="241" t="s">
        <v>1112</v>
      </c>
      <c r="C610" s="242">
        <v>-369.54</v>
      </c>
      <c r="D610" s="243"/>
      <c r="E610" s="243"/>
      <c r="F610" s="243"/>
      <c r="G610" s="242">
        <v>-1190.1600000000001</v>
      </c>
      <c r="H610" s="242">
        <v>1190.1600000000001</v>
      </c>
      <c r="I610" s="243"/>
      <c r="J610" s="243"/>
      <c r="K610" s="243"/>
      <c r="L610" s="243"/>
      <c r="M610" s="243"/>
      <c r="N610" s="243"/>
      <c r="O610" s="242">
        <v>-369.54</v>
      </c>
    </row>
    <row r="611" spans="1:15" x14ac:dyDescent="0.25">
      <c r="A611" s="241" t="s">
        <v>1142</v>
      </c>
      <c r="B611" s="241" t="s">
        <v>825</v>
      </c>
      <c r="C611" s="243"/>
      <c r="D611" s="243"/>
      <c r="E611" s="243"/>
      <c r="F611" s="243"/>
      <c r="G611" s="242">
        <v>43.48</v>
      </c>
      <c r="H611" s="242">
        <v>-9.77</v>
      </c>
      <c r="I611" s="242">
        <v>-33.71</v>
      </c>
      <c r="J611" s="243"/>
      <c r="K611" s="243"/>
      <c r="L611" s="243"/>
      <c r="M611" s="243"/>
      <c r="N611" s="243"/>
      <c r="O611" s="243"/>
    </row>
    <row r="612" spans="1:15" x14ac:dyDescent="0.25">
      <c r="A612" s="241" t="s">
        <v>1453</v>
      </c>
      <c r="B612" s="241" t="s">
        <v>922</v>
      </c>
      <c r="C612" s="242">
        <v>-11</v>
      </c>
      <c r="D612" s="242">
        <v>-43.97</v>
      </c>
      <c r="E612" s="242">
        <v>-102.19</v>
      </c>
      <c r="F612" s="242">
        <v>-62.94</v>
      </c>
      <c r="G612" s="242">
        <v>-53.1</v>
      </c>
      <c r="H612" s="242">
        <v>-59.77</v>
      </c>
      <c r="I612" s="242">
        <v>-115.17</v>
      </c>
      <c r="J612" s="242">
        <v>-112.13</v>
      </c>
      <c r="K612" s="242">
        <v>-59.28</v>
      </c>
      <c r="L612" s="242">
        <v>-155.30000000000001</v>
      </c>
      <c r="M612" s="242">
        <v>-282</v>
      </c>
      <c r="N612" s="242">
        <v>-55.91</v>
      </c>
      <c r="O612" s="242">
        <v>-1112.76</v>
      </c>
    </row>
    <row r="613" spans="1:15" x14ac:dyDescent="0.25">
      <c r="A613" s="241" t="s">
        <v>1143</v>
      </c>
      <c r="B613" s="241" t="s">
        <v>923</v>
      </c>
      <c r="C613" s="242">
        <v>718.66</v>
      </c>
      <c r="D613" s="242">
        <v>18.63</v>
      </c>
      <c r="E613" s="243"/>
      <c r="F613" s="242">
        <v>239.07</v>
      </c>
      <c r="G613" s="242">
        <v>24.56</v>
      </c>
      <c r="H613" s="242">
        <v>35.11</v>
      </c>
      <c r="I613" s="242">
        <v>884.74</v>
      </c>
      <c r="J613" s="242">
        <v>453.83</v>
      </c>
      <c r="K613" s="242">
        <v>37.880000000000003</v>
      </c>
      <c r="L613" s="242">
        <v>163.79</v>
      </c>
      <c r="M613" s="242">
        <v>170.49</v>
      </c>
      <c r="N613" s="242">
        <v>33.68</v>
      </c>
      <c r="O613" s="242">
        <v>2780.44</v>
      </c>
    </row>
    <row r="614" spans="1:15" x14ac:dyDescent="0.25">
      <c r="A614" s="241" t="s">
        <v>1144</v>
      </c>
      <c r="B614" s="241" t="s">
        <v>867</v>
      </c>
      <c r="C614" s="243"/>
      <c r="D614" s="243"/>
      <c r="E614" s="242">
        <v>244.99</v>
      </c>
      <c r="F614" s="243"/>
      <c r="G614" s="242">
        <v>22.24</v>
      </c>
      <c r="H614" s="242">
        <v>858.9</v>
      </c>
      <c r="I614" s="242">
        <v>16.38</v>
      </c>
      <c r="J614" s="242">
        <v>348.53</v>
      </c>
      <c r="K614" s="243"/>
      <c r="L614" s="242">
        <v>269.39</v>
      </c>
      <c r="M614" s="242">
        <v>122</v>
      </c>
      <c r="N614" s="243"/>
      <c r="O614" s="242">
        <v>1882.43</v>
      </c>
    </row>
    <row r="615" spans="1:15" x14ac:dyDescent="0.25">
      <c r="A615" s="241" t="s">
        <v>1437</v>
      </c>
      <c r="B615" s="241" t="s">
        <v>1417</v>
      </c>
      <c r="C615" s="244">
        <v>21828.97</v>
      </c>
      <c r="D615" s="244">
        <v>18858.86</v>
      </c>
      <c r="E615" s="244">
        <v>59188.4</v>
      </c>
      <c r="F615" s="244">
        <v>116405.49</v>
      </c>
      <c r="G615" s="244">
        <v>70465.72</v>
      </c>
      <c r="H615" s="244">
        <v>50851.8</v>
      </c>
      <c r="I615" s="244">
        <v>7607.63</v>
      </c>
      <c r="J615" s="244">
        <v>2187.1799999999998</v>
      </c>
      <c r="K615" s="244">
        <v>7426.81</v>
      </c>
      <c r="L615" s="244">
        <v>4636.6499999999996</v>
      </c>
      <c r="M615" s="244">
        <v>5244.42</v>
      </c>
      <c r="N615" s="244">
        <v>7291.07</v>
      </c>
      <c r="O615" s="244">
        <v>371993</v>
      </c>
    </row>
    <row r="616" spans="1:15" x14ac:dyDescent="0.25">
      <c r="A616" s="239"/>
      <c r="B616" s="239" t="s">
        <v>1145</v>
      </c>
      <c r="C616" s="245">
        <v>22166.84</v>
      </c>
      <c r="D616" s="245">
        <v>18833.52</v>
      </c>
      <c r="E616" s="245">
        <v>59331.199999999997</v>
      </c>
      <c r="F616" s="245">
        <v>116581.62</v>
      </c>
      <c r="G616" s="245">
        <v>65239.44</v>
      </c>
      <c r="H616" s="245">
        <v>53782.13</v>
      </c>
      <c r="I616" s="245">
        <v>11517.47</v>
      </c>
      <c r="J616" s="245">
        <v>2877.41</v>
      </c>
      <c r="K616" s="245">
        <v>7405.41</v>
      </c>
      <c r="L616" s="245">
        <v>4914.53</v>
      </c>
      <c r="M616" s="245">
        <v>5254.91</v>
      </c>
      <c r="N616" s="245">
        <v>7268.84</v>
      </c>
      <c r="O616" s="245">
        <v>375173.32</v>
      </c>
    </row>
    <row r="617" spans="1:15" x14ac:dyDescent="0.25">
      <c r="A617" s="235"/>
      <c r="B617" s="235"/>
      <c r="C617" s="236"/>
      <c r="D617" s="236"/>
      <c r="E617" s="236"/>
      <c r="F617" s="236"/>
      <c r="G617" s="236"/>
      <c r="H617" s="236"/>
      <c r="I617" s="236"/>
      <c r="J617" s="236"/>
      <c r="K617" s="236"/>
      <c r="L617" s="236"/>
      <c r="M617" s="236"/>
      <c r="N617" s="236"/>
      <c r="O617" s="236"/>
    </row>
    <row r="618" spans="1:15" x14ac:dyDescent="0.25">
      <c r="A618" s="239"/>
      <c r="B618" s="239" t="s">
        <v>587</v>
      </c>
      <c r="C618" s="240"/>
      <c r="D618" s="240"/>
      <c r="E618" s="240"/>
      <c r="F618" s="240"/>
      <c r="G618" s="240"/>
      <c r="H618" s="240"/>
      <c r="I618" s="240"/>
      <c r="J618" s="240"/>
      <c r="K618" s="240"/>
      <c r="L618" s="240"/>
      <c r="M618" s="240"/>
      <c r="N618" s="240"/>
      <c r="O618" s="240"/>
    </row>
    <row r="619" spans="1:15" x14ac:dyDescent="0.25">
      <c r="A619" s="241" t="s">
        <v>1146</v>
      </c>
      <c r="B619" s="241" t="s">
        <v>1110</v>
      </c>
      <c r="C619" s="242">
        <v>-0.01</v>
      </c>
      <c r="D619" s="243"/>
      <c r="E619" s="243"/>
      <c r="F619" s="243"/>
      <c r="G619" s="242">
        <v>-9110.49</v>
      </c>
      <c r="H619" s="242">
        <v>2048.09</v>
      </c>
      <c r="I619" s="242">
        <v>7062.4</v>
      </c>
      <c r="J619" s="243"/>
      <c r="K619" s="243"/>
      <c r="L619" s="243"/>
      <c r="M619" s="243"/>
      <c r="N619" s="243"/>
      <c r="O619" s="242">
        <v>-0.01</v>
      </c>
    </row>
    <row r="620" spans="1:15" x14ac:dyDescent="0.25">
      <c r="A620" s="241" t="s">
        <v>1454</v>
      </c>
      <c r="B620" s="241" t="s">
        <v>922</v>
      </c>
      <c r="C620" s="242">
        <v>-4.5999999999999996</v>
      </c>
      <c r="D620" s="242">
        <v>-4.45</v>
      </c>
      <c r="E620" s="243"/>
      <c r="F620" s="242">
        <v>-61.53</v>
      </c>
      <c r="G620" s="242">
        <v>-84.32</v>
      </c>
      <c r="H620" s="242">
        <v>-16.600000000000001</v>
      </c>
      <c r="I620" s="243"/>
      <c r="J620" s="242">
        <v>-33.4</v>
      </c>
      <c r="K620" s="242">
        <v>-19.8</v>
      </c>
      <c r="L620" s="243"/>
      <c r="M620" s="242">
        <v>-1</v>
      </c>
      <c r="N620" s="242">
        <v>-9.67</v>
      </c>
      <c r="O620" s="242">
        <v>-235.37</v>
      </c>
    </row>
    <row r="621" spans="1:15" x14ac:dyDescent="0.25">
      <c r="A621" s="241" t="s">
        <v>1147</v>
      </c>
      <c r="B621" s="241" t="s">
        <v>923</v>
      </c>
      <c r="C621" s="242">
        <v>142.56</v>
      </c>
      <c r="D621" s="242">
        <v>353.8</v>
      </c>
      <c r="E621" s="243"/>
      <c r="F621" s="242">
        <v>79.86</v>
      </c>
      <c r="G621" s="243"/>
      <c r="H621" s="243"/>
      <c r="I621" s="243"/>
      <c r="J621" s="243"/>
      <c r="K621" s="242">
        <v>109.02</v>
      </c>
      <c r="L621" s="242">
        <v>420.92</v>
      </c>
      <c r="M621" s="243"/>
      <c r="N621" s="243"/>
      <c r="O621" s="242">
        <v>1106.1600000000001</v>
      </c>
    </row>
    <row r="622" spans="1:15" x14ac:dyDescent="0.25">
      <c r="A622" s="241" t="s">
        <v>1368</v>
      </c>
      <c r="B622" s="241" t="s">
        <v>861</v>
      </c>
      <c r="C622" s="243"/>
      <c r="D622" s="243"/>
      <c r="E622" s="243"/>
      <c r="F622" s="243"/>
      <c r="G622" s="243"/>
      <c r="H622" s="243"/>
      <c r="I622" s="243"/>
      <c r="J622" s="243"/>
      <c r="K622" s="243"/>
      <c r="L622" s="243"/>
      <c r="M622" s="243"/>
      <c r="N622" s="242">
        <v>500</v>
      </c>
      <c r="O622" s="242">
        <v>500</v>
      </c>
    </row>
    <row r="623" spans="1:15" x14ac:dyDescent="0.25">
      <c r="A623" s="241" t="s">
        <v>1148</v>
      </c>
      <c r="B623" s="241" t="s">
        <v>867</v>
      </c>
      <c r="C623" s="243"/>
      <c r="D623" s="242">
        <v>35.14</v>
      </c>
      <c r="E623" s="243"/>
      <c r="F623" s="243"/>
      <c r="G623" s="243"/>
      <c r="H623" s="243"/>
      <c r="I623" s="243"/>
      <c r="J623" s="243"/>
      <c r="K623" s="242">
        <v>1046.2</v>
      </c>
      <c r="L623" s="243"/>
      <c r="M623" s="243"/>
      <c r="N623" s="243"/>
      <c r="O623" s="242">
        <v>1081.3399999999999</v>
      </c>
    </row>
    <row r="624" spans="1:15" x14ac:dyDescent="0.25">
      <c r="A624" s="241" t="s">
        <v>1438</v>
      </c>
      <c r="B624" s="241" t="s">
        <v>1417</v>
      </c>
      <c r="C624" s="242">
        <v>9697.66</v>
      </c>
      <c r="D624" s="242">
        <v>-855.25</v>
      </c>
      <c r="E624" s="242">
        <v>14767.18</v>
      </c>
      <c r="F624" s="242">
        <v>50307.42</v>
      </c>
      <c r="G624" s="242">
        <v>16491.689999999999</v>
      </c>
      <c r="H624" s="242">
        <v>5631.43</v>
      </c>
      <c r="I624" s="242">
        <v>4769.67</v>
      </c>
      <c r="J624" s="242">
        <v>-2063.4699999999998</v>
      </c>
      <c r="K624" s="242">
        <v>582.80999999999995</v>
      </c>
      <c r="L624" s="242">
        <v>314</v>
      </c>
      <c r="M624" s="242">
        <v>-193.3</v>
      </c>
      <c r="N624" s="242">
        <v>2839.48</v>
      </c>
      <c r="O624" s="242">
        <v>102289.32</v>
      </c>
    </row>
    <row r="625" spans="1:15" x14ac:dyDescent="0.25">
      <c r="A625" s="241" t="s">
        <v>1573</v>
      </c>
      <c r="B625" s="241" t="s">
        <v>885</v>
      </c>
      <c r="C625" s="246"/>
      <c r="D625" s="246"/>
      <c r="E625" s="246"/>
      <c r="F625" s="246"/>
      <c r="G625" s="246"/>
      <c r="H625" s="244">
        <v>-11.22</v>
      </c>
      <c r="I625" s="244">
        <v>11.22</v>
      </c>
      <c r="J625" s="246"/>
      <c r="K625" s="246"/>
      <c r="L625" s="246"/>
      <c r="M625" s="246"/>
      <c r="N625" s="246"/>
      <c r="O625" s="246"/>
    </row>
    <row r="626" spans="1:15" x14ac:dyDescent="0.25">
      <c r="A626" s="239"/>
      <c r="B626" s="239" t="s">
        <v>1149</v>
      </c>
      <c r="C626" s="245">
        <v>9835.61</v>
      </c>
      <c r="D626" s="245">
        <v>-470.76</v>
      </c>
      <c r="E626" s="245">
        <v>14767.18</v>
      </c>
      <c r="F626" s="245">
        <v>50325.75</v>
      </c>
      <c r="G626" s="245">
        <v>7296.88</v>
      </c>
      <c r="H626" s="245">
        <v>7651.7</v>
      </c>
      <c r="I626" s="245">
        <v>11843.29</v>
      </c>
      <c r="J626" s="245">
        <v>-2096.87</v>
      </c>
      <c r="K626" s="245">
        <v>1718.23</v>
      </c>
      <c r="L626" s="245">
        <v>734.92</v>
      </c>
      <c r="M626" s="245">
        <v>-194.3</v>
      </c>
      <c r="N626" s="245">
        <v>3329.81</v>
      </c>
      <c r="O626" s="245">
        <v>104741.44</v>
      </c>
    </row>
    <row r="627" spans="1:15" x14ac:dyDescent="0.25">
      <c r="A627" s="235"/>
      <c r="B627" s="235"/>
      <c r="C627" s="236"/>
      <c r="D627" s="236"/>
      <c r="E627" s="236"/>
      <c r="F627" s="236"/>
      <c r="G627" s="236"/>
      <c r="H627" s="236"/>
      <c r="I627" s="236"/>
      <c r="J627" s="236"/>
      <c r="K627" s="236"/>
      <c r="L627" s="236"/>
      <c r="M627" s="236"/>
      <c r="N627" s="236"/>
      <c r="O627" s="236"/>
    </row>
    <row r="628" spans="1:15" x14ac:dyDescent="0.25">
      <c r="A628" s="239"/>
      <c r="B628" s="239" t="s">
        <v>1150</v>
      </c>
      <c r="C628" s="240"/>
      <c r="D628" s="240"/>
      <c r="E628" s="240"/>
      <c r="F628" s="240"/>
      <c r="G628" s="240"/>
      <c r="H628" s="240"/>
      <c r="I628" s="240"/>
      <c r="J628" s="240"/>
      <c r="K628" s="240"/>
      <c r="L628" s="240"/>
      <c r="M628" s="240"/>
      <c r="N628" s="240"/>
      <c r="O628" s="240"/>
    </row>
    <row r="629" spans="1:15" x14ac:dyDescent="0.25">
      <c r="A629" s="241" t="s">
        <v>1151</v>
      </c>
      <c r="B629" s="241" t="s">
        <v>1110</v>
      </c>
      <c r="C629" s="242">
        <v>4941.05</v>
      </c>
      <c r="D629" s="242">
        <v>5443.27</v>
      </c>
      <c r="E629" s="242">
        <v>15565.98</v>
      </c>
      <c r="F629" s="242">
        <v>15941.05</v>
      </c>
      <c r="G629" s="242">
        <v>2578.12</v>
      </c>
      <c r="H629" s="242">
        <v>2250.86</v>
      </c>
      <c r="I629" s="243"/>
      <c r="J629" s="242">
        <v>115.67</v>
      </c>
      <c r="K629" s="242">
        <v>-14.21</v>
      </c>
      <c r="L629" s="243"/>
      <c r="M629" s="242">
        <v>117.22</v>
      </c>
      <c r="N629" s="243"/>
      <c r="O629" s="242">
        <v>46939.01</v>
      </c>
    </row>
    <row r="630" spans="1:15" x14ac:dyDescent="0.25">
      <c r="A630" s="241" t="s">
        <v>1599</v>
      </c>
      <c r="B630" s="241" t="s">
        <v>1600</v>
      </c>
      <c r="C630" s="243"/>
      <c r="D630" s="243"/>
      <c r="E630" s="243"/>
      <c r="F630" s="243"/>
      <c r="G630" s="243"/>
      <c r="H630" s="243"/>
      <c r="I630" s="243"/>
      <c r="J630" s="242">
        <v>1945.6</v>
      </c>
      <c r="K630" s="242">
        <v>4814.9799999999996</v>
      </c>
      <c r="L630" s="242">
        <v>1556.41</v>
      </c>
      <c r="M630" s="242">
        <v>-1239.3900000000001</v>
      </c>
      <c r="N630" s="242">
        <v>-42.58</v>
      </c>
      <c r="O630" s="242">
        <v>7035.02</v>
      </c>
    </row>
    <row r="631" spans="1:15" x14ac:dyDescent="0.25">
      <c r="A631" s="241" t="s">
        <v>1152</v>
      </c>
      <c r="B631" s="241" t="s">
        <v>847</v>
      </c>
      <c r="C631" s="243"/>
      <c r="D631" s="243"/>
      <c r="E631" s="242">
        <v>100</v>
      </c>
      <c r="F631" s="243"/>
      <c r="G631" s="243"/>
      <c r="H631" s="243"/>
      <c r="I631" s="243"/>
      <c r="J631" s="243"/>
      <c r="K631" s="243"/>
      <c r="L631" s="243"/>
      <c r="M631" s="243"/>
      <c r="N631" s="243"/>
      <c r="O631" s="242">
        <v>100</v>
      </c>
    </row>
    <row r="632" spans="1:15" x14ac:dyDescent="0.25">
      <c r="A632" s="241" t="s">
        <v>1153</v>
      </c>
      <c r="B632" s="241" t="s">
        <v>850</v>
      </c>
      <c r="C632" s="242">
        <v>329.4</v>
      </c>
      <c r="D632" s="242">
        <v>513.12</v>
      </c>
      <c r="E632" s="242">
        <v>3177.77</v>
      </c>
      <c r="F632" s="242">
        <v>-1534.29</v>
      </c>
      <c r="G632" s="242">
        <v>-25.55</v>
      </c>
      <c r="H632" s="242">
        <v>22.69</v>
      </c>
      <c r="I632" s="243"/>
      <c r="J632" s="243"/>
      <c r="K632" s="243"/>
      <c r="L632" s="243"/>
      <c r="M632" s="243"/>
      <c r="N632" s="243"/>
      <c r="O632" s="242">
        <v>2483.14</v>
      </c>
    </row>
    <row r="633" spans="1:15" x14ac:dyDescent="0.25">
      <c r="A633" s="241" t="s">
        <v>1154</v>
      </c>
      <c r="B633" s="241" t="s">
        <v>852</v>
      </c>
      <c r="C633" s="242">
        <v>1165.5999999999999</v>
      </c>
      <c r="D633" s="242">
        <v>16.66</v>
      </c>
      <c r="E633" s="242">
        <v>147.53</v>
      </c>
      <c r="F633" s="242">
        <v>1893.79</v>
      </c>
      <c r="G633" s="242">
        <v>190.95</v>
      </c>
      <c r="H633" s="242">
        <v>-185.07</v>
      </c>
      <c r="I633" s="243"/>
      <c r="J633" s="243"/>
      <c r="K633" s="243"/>
      <c r="L633" s="243"/>
      <c r="M633" s="243"/>
      <c r="N633" s="243"/>
      <c r="O633" s="242">
        <v>3229.46</v>
      </c>
    </row>
    <row r="634" spans="1:15" x14ac:dyDescent="0.25">
      <c r="A634" s="241" t="s">
        <v>1155</v>
      </c>
      <c r="B634" s="241" t="s">
        <v>825</v>
      </c>
      <c r="C634" s="242">
        <v>470.78</v>
      </c>
      <c r="D634" s="242">
        <v>466.7</v>
      </c>
      <c r="E634" s="242">
        <v>1576</v>
      </c>
      <c r="F634" s="242">
        <v>1753.27</v>
      </c>
      <c r="G634" s="242">
        <v>222.46</v>
      </c>
      <c r="H634" s="242">
        <v>163.41999999999999</v>
      </c>
      <c r="I634" s="242">
        <v>-0.08</v>
      </c>
      <c r="J634" s="242">
        <v>8.5500000000000007</v>
      </c>
      <c r="K634" s="242">
        <v>-1.05</v>
      </c>
      <c r="L634" s="243"/>
      <c r="M634" s="242">
        <v>9.56</v>
      </c>
      <c r="N634" s="243"/>
      <c r="O634" s="242">
        <v>4669.6099999999997</v>
      </c>
    </row>
    <row r="635" spans="1:15" x14ac:dyDescent="0.25">
      <c r="A635" s="241" t="s">
        <v>1532</v>
      </c>
      <c r="B635" s="241" t="s">
        <v>1533</v>
      </c>
      <c r="C635" s="243"/>
      <c r="D635" s="243"/>
      <c r="E635" s="243"/>
      <c r="F635" s="243"/>
      <c r="G635" s="242">
        <v>1549.17</v>
      </c>
      <c r="H635" s="242">
        <v>4173.3500000000004</v>
      </c>
      <c r="I635" s="242">
        <v>14630.9</v>
      </c>
      <c r="J635" s="242">
        <v>28433.83</v>
      </c>
      <c r="K635" s="242">
        <v>31627.49</v>
      </c>
      <c r="L635" s="242">
        <v>31841.88</v>
      </c>
      <c r="M635" s="242">
        <v>35098.79</v>
      </c>
      <c r="N635" s="242">
        <v>38825.96</v>
      </c>
      <c r="O635" s="242">
        <v>186181.37</v>
      </c>
    </row>
    <row r="636" spans="1:15" x14ac:dyDescent="0.25">
      <c r="A636" s="241" t="s">
        <v>1534</v>
      </c>
      <c r="B636" s="241" t="s">
        <v>1535</v>
      </c>
      <c r="C636" s="243"/>
      <c r="D636" s="243"/>
      <c r="E636" s="243"/>
      <c r="F636" s="243"/>
      <c r="G636" s="242">
        <v>8493.7999999999993</v>
      </c>
      <c r="H636" s="242">
        <v>9363.9599999999991</v>
      </c>
      <c r="I636" s="242">
        <v>8915.2800000000007</v>
      </c>
      <c r="J636" s="242">
        <v>18492.16</v>
      </c>
      <c r="K636" s="242">
        <v>18433.59</v>
      </c>
      <c r="L636" s="242">
        <v>19634.14</v>
      </c>
      <c r="M636" s="242">
        <v>24710.55</v>
      </c>
      <c r="N636" s="242">
        <v>25009.73</v>
      </c>
      <c r="O636" s="242">
        <v>133053.21</v>
      </c>
    </row>
    <row r="637" spans="1:15" x14ac:dyDescent="0.25">
      <c r="A637" s="241" t="s">
        <v>1574</v>
      </c>
      <c r="B637" s="241" t="s">
        <v>1575</v>
      </c>
      <c r="C637" s="243"/>
      <c r="D637" s="243"/>
      <c r="E637" s="243"/>
      <c r="F637" s="243"/>
      <c r="G637" s="243"/>
      <c r="H637" s="242">
        <v>85.33</v>
      </c>
      <c r="I637" s="242">
        <v>3859.62</v>
      </c>
      <c r="J637" s="242">
        <v>14213.25</v>
      </c>
      <c r="K637" s="242">
        <v>9679.24</v>
      </c>
      <c r="L637" s="242">
        <v>9131.11</v>
      </c>
      <c r="M637" s="242">
        <v>8704.7900000000009</v>
      </c>
      <c r="N637" s="242">
        <v>9422.17</v>
      </c>
      <c r="O637" s="242">
        <v>55095.51</v>
      </c>
    </row>
    <row r="638" spans="1:15" x14ac:dyDescent="0.25">
      <c r="A638" s="241" t="s">
        <v>1536</v>
      </c>
      <c r="B638" s="241" t="s">
        <v>1537</v>
      </c>
      <c r="C638" s="243"/>
      <c r="D638" s="243"/>
      <c r="E638" s="243"/>
      <c r="F638" s="243"/>
      <c r="G638" s="242">
        <v>3772.01</v>
      </c>
      <c r="H638" s="242">
        <v>7483.38</v>
      </c>
      <c r="I638" s="242">
        <v>17930.27</v>
      </c>
      <c r="J638" s="242">
        <v>25007.67</v>
      </c>
      <c r="K638" s="242">
        <v>27446.69</v>
      </c>
      <c r="L638" s="242">
        <v>29824.65</v>
      </c>
      <c r="M638" s="242">
        <v>35133.81</v>
      </c>
      <c r="N638" s="242">
        <v>38390.14</v>
      </c>
      <c r="O638" s="242">
        <v>184988.62</v>
      </c>
    </row>
    <row r="639" spans="1:15" x14ac:dyDescent="0.25">
      <c r="A639" s="241" t="s">
        <v>1156</v>
      </c>
      <c r="B639" s="241" t="s">
        <v>855</v>
      </c>
      <c r="C639" s="243"/>
      <c r="D639" s="242">
        <v>4498.0600000000004</v>
      </c>
      <c r="E639" s="242">
        <v>1600</v>
      </c>
      <c r="F639" s="242">
        <v>1200</v>
      </c>
      <c r="G639" s="242">
        <v>18700</v>
      </c>
      <c r="H639" s="242">
        <v>65382.15</v>
      </c>
      <c r="I639" s="242">
        <v>89208</v>
      </c>
      <c r="J639" s="242">
        <v>64327.5</v>
      </c>
      <c r="K639" s="242">
        <v>60120.3</v>
      </c>
      <c r="L639" s="242">
        <v>46889.05</v>
      </c>
      <c r="M639" s="242">
        <v>40515</v>
      </c>
      <c r="N639" s="242">
        <v>63130</v>
      </c>
      <c r="O639" s="242">
        <v>455570.06</v>
      </c>
    </row>
    <row r="640" spans="1:15" x14ac:dyDescent="0.25">
      <c r="A640" s="241" t="s">
        <v>1576</v>
      </c>
      <c r="B640" s="241" t="s">
        <v>922</v>
      </c>
      <c r="C640" s="243"/>
      <c r="D640" s="243"/>
      <c r="E640" s="243"/>
      <c r="F640" s="243"/>
      <c r="G640" s="243"/>
      <c r="H640" s="242">
        <v>-46.7</v>
      </c>
      <c r="I640" s="242">
        <v>-64.239999999999995</v>
      </c>
      <c r="J640" s="243"/>
      <c r="K640" s="242">
        <v>-61.81</v>
      </c>
      <c r="L640" s="242">
        <v>-22.81</v>
      </c>
      <c r="M640" s="243"/>
      <c r="N640" s="243"/>
      <c r="O640" s="242">
        <v>-195.56</v>
      </c>
    </row>
    <row r="641" spans="1:15" x14ac:dyDescent="0.25">
      <c r="A641" s="241" t="s">
        <v>1601</v>
      </c>
      <c r="B641" s="241" t="s">
        <v>923</v>
      </c>
      <c r="C641" s="243"/>
      <c r="D641" s="243"/>
      <c r="E641" s="243"/>
      <c r="F641" s="243"/>
      <c r="G641" s="243"/>
      <c r="H641" s="243"/>
      <c r="I641" s="243"/>
      <c r="J641" s="242">
        <v>279.20999999999998</v>
      </c>
      <c r="K641" s="243"/>
      <c r="L641" s="243"/>
      <c r="M641" s="243"/>
      <c r="N641" s="243"/>
      <c r="O641" s="242">
        <v>279.20999999999998</v>
      </c>
    </row>
    <row r="642" spans="1:15" x14ac:dyDescent="0.25">
      <c r="A642" s="241" t="s">
        <v>1496</v>
      </c>
      <c r="B642" s="241" t="s">
        <v>861</v>
      </c>
      <c r="C642" s="243"/>
      <c r="D642" s="242">
        <v>600</v>
      </c>
      <c r="E642" s="243"/>
      <c r="F642" s="243"/>
      <c r="G642" s="243"/>
      <c r="H642" s="243"/>
      <c r="I642" s="242">
        <v>1705.7</v>
      </c>
      <c r="J642" s="243"/>
      <c r="K642" s="243"/>
      <c r="L642" s="243"/>
      <c r="M642" s="243"/>
      <c r="N642" s="243"/>
      <c r="O642" s="242">
        <v>2305.6999999999998</v>
      </c>
    </row>
    <row r="643" spans="1:15" x14ac:dyDescent="0.25">
      <c r="A643" s="241" t="s">
        <v>1512</v>
      </c>
      <c r="B643" s="241" t="s">
        <v>591</v>
      </c>
      <c r="C643" s="243"/>
      <c r="D643" s="243"/>
      <c r="E643" s="243"/>
      <c r="F643" s="242">
        <v>800</v>
      </c>
      <c r="G643" s="243"/>
      <c r="H643" s="243"/>
      <c r="I643" s="243"/>
      <c r="J643" s="242">
        <v>1041.45</v>
      </c>
      <c r="K643" s="243"/>
      <c r="L643" s="243"/>
      <c r="M643" s="243"/>
      <c r="N643" s="243"/>
      <c r="O643" s="242">
        <v>1841.45</v>
      </c>
    </row>
    <row r="644" spans="1:15" x14ac:dyDescent="0.25">
      <c r="A644" s="241" t="s">
        <v>1439</v>
      </c>
      <c r="B644" s="241" t="s">
        <v>1417</v>
      </c>
      <c r="C644" s="244">
        <v>1956.09</v>
      </c>
      <c r="D644" s="244">
        <v>4483.67</v>
      </c>
      <c r="E644" s="244">
        <v>5954.68</v>
      </c>
      <c r="F644" s="244">
        <v>14873.72</v>
      </c>
      <c r="G644" s="244">
        <v>-409.7</v>
      </c>
      <c r="H644" s="244">
        <v>4839.58</v>
      </c>
      <c r="I644" s="244">
        <v>-36.85</v>
      </c>
      <c r="J644" s="244">
        <v>6.94</v>
      </c>
      <c r="K644" s="244">
        <v>5.9</v>
      </c>
      <c r="L644" s="244">
        <v>413.2</v>
      </c>
      <c r="M644" s="244">
        <v>-158.15</v>
      </c>
      <c r="N644" s="244">
        <v>1.47</v>
      </c>
      <c r="O644" s="244">
        <v>31930.55</v>
      </c>
    </row>
    <row r="645" spans="1:15" x14ac:dyDescent="0.25">
      <c r="A645" s="239"/>
      <c r="B645" s="239" t="s">
        <v>1157</v>
      </c>
      <c r="C645" s="245">
        <v>8862.92</v>
      </c>
      <c r="D645" s="245">
        <v>16021.48</v>
      </c>
      <c r="E645" s="245">
        <v>28121.96</v>
      </c>
      <c r="F645" s="245">
        <v>34927.54</v>
      </c>
      <c r="G645" s="245">
        <v>35071.26</v>
      </c>
      <c r="H645" s="245">
        <v>93532.95</v>
      </c>
      <c r="I645" s="245">
        <v>136148.6</v>
      </c>
      <c r="J645" s="245">
        <v>153871.82999999999</v>
      </c>
      <c r="K645" s="245">
        <v>152051.12</v>
      </c>
      <c r="L645" s="245">
        <v>139267.63</v>
      </c>
      <c r="M645" s="245">
        <v>142892.18</v>
      </c>
      <c r="N645" s="245">
        <v>174736.89</v>
      </c>
      <c r="O645" s="245">
        <v>1115506.3600000001</v>
      </c>
    </row>
    <row r="646" spans="1:15" x14ac:dyDescent="0.25">
      <c r="A646" s="235"/>
      <c r="B646" s="235"/>
      <c r="C646" s="236"/>
      <c r="D646" s="236"/>
      <c r="E646" s="236"/>
      <c r="F646" s="236"/>
      <c r="G646" s="236"/>
      <c r="H646" s="236"/>
      <c r="I646" s="236"/>
      <c r="J646" s="236"/>
      <c r="K646" s="236"/>
      <c r="L646" s="236"/>
      <c r="M646" s="236"/>
      <c r="N646" s="236"/>
      <c r="O646" s="236"/>
    </row>
    <row r="647" spans="1:15" x14ac:dyDescent="0.25">
      <c r="A647" s="239"/>
      <c r="B647" s="239" t="s">
        <v>1158</v>
      </c>
      <c r="C647" s="240"/>
      <c r="D647" s="240"/>
      <c r="E647" s="240"/>
      <c r="F647" s="240"/>
      <c r="G647" s="240"/>
      <c r="H647" s="240"/>
      <c r="I647" s="240"/>
      <c r="J647" s="240"/>
      <c r="K647" s="240"/>
      <c r="L647" s="240"/>
      <c r="M647" s="240"/>
      <c r="N647" s="240"/>
      <c r="O647" s="240"/>
    </row>
    <row r="648" spans="1:15" x14ac:dyDescent="0.25">
      <c r="A648" s="241" t="s">
        <v>1159</v>
      </c>
      <c r="B648" s="241" t="s">
        <v>855</v>
      </c>
      <c r="C648" s="243"/>
      <c r="D648" s="242">
        <v>490</v>
      </c>
      <c r="E648" s="243"/>
      <c r="F648" s="242">
        <v>380</v>
      </c>
      <c r="G648" s="242">
        <v>530</v>
      </c>
      <c r="H648" s="242">
        <v>250</v>
      </c>
      <c r="I648" s="242">
        <v>1066</v>
      </c>
      <c r="J648" s="242">
        <v>947</v>
      </c>
      <c r="K648" s="242">
        <v>903</v>
      </c>
      <c r="L648" s="242">
        <v>896.5</v>
      </c>
      <c r="M648" s="242">
        <v>1030.4000000000001</v>
      </c>
      <c r="N648" s="242">
        <v>960</v>
      </c>
      <c r="O648" s="242">
        <v>7452.9</v>
      </c>
    </row>
    <row r="649" spans="1:15" x14ac:dyDescent="0.25">
      <c r="A649" s="241" t="s">
        <v>1160</v>
      </c>
      <c r="B649" s="241" t="s">
        <v>923</v>
      </c>
      <c r="C649" s="243"/>
      <c r="D649" s="243"/>
      <c r="E649" s="243"/>
      <c r="F649" s="243"/>
      <c r="G649" s="243"/>
      <c r="H649" s="242">
        <v>100.45</v>
      </c>
      <c r="I649" s="243"/>
      <c r="J649" s="242">
        <v>45.77</v>
      </c>
      <c r="K649" s="243"/>
      <c r="L649" s="243"/>
      <c r="M649" s="243"/>
      <c r="N649" s="243"/>
      <c r="O649" s="242">
        <v>146.22</v>
      </c>
    </row>
    <row r="650" spans="1:15" x14ac:dyDescent="0.25">
      <c r="A650" s="241" t="s">
        <v>1161</v>
      </c>
      <c r="B650" s="241" t="s">
        <v>890</v>
      </c>
      <c r="C650" s="246"/>
      <c r="D650" s="246"/>
      <c r="E650" s="246"/>
      <c r="F650" s="246"/>
      <c r="G650" s="246"/>
      <c r="H650" s="246"/>
      <c r="I650" s="246"/>
      <c r="J650" s="246"/>
      <c r="K650" s="246"/>
      <c r="L650" s="246"/>
      <c r="M650" s="244">
        <v>102.95</v>
      </c>
      <c r="N650" s="246"/>
      <c r="O650" s="244">
        <v>102.95</v>
      </c>
    </row>
    <row r="651" spans="1:15" x14ac:dyDescent="0.25">
      <c r="A651" s="239"/>
      <c r="B651" s="239" t="s">
        <v>1162</v>
      </c>
      <c r="C651" s="240"/>
      <c r="D651" s="245">
        <v>490</v>
      </c>
      <c r="E651" s="240"/>
      <c r="F651" s="245">
        <v>380</v>
      </c>
      <c r="G651" s="245">
        <v>530</v>
      </c>
      <c r="H651" s="245">
        <v>350.45</v>
      </c>
      <c r="I651" s="245">
        <v>1066</v>
      </c>
      <c r="J651" s="245">
        <v>992.77</v>
      </c>
      <c r="K651" s="245">
        <v>903</v>
      </c>
      <c r="L651" s="245">
        <v>896.5</v>
      </c>
      <c r="M651" s="245">
        <v>1133.3499999999999</v>
      </c>
      <c r="N651" s="245">
        <v>960</v>
      </c>
      <c r="O651" s="245">
        <v>7702.07</v>
      </c>
    </row>
    <row r="652" spans="1:15" x14ac:dyDescent="0.25">
      <c r="A652" s="235"/>
      <c r="B652" s="235"/>
      <c r="C652" s="236"/>
      <c r="D652" s="236"/>
      <c r="E652" s="236"/>
      <c r="F652" s="236"/>
      <c r="G652" s="236"/>
      <c r="H652" s="236"/>
      <c r="I652" s="236"/>
      <c r="J652" s="236"/>
      <c r="K652" s="236"/>
      <c r="L652" s="236"/>
      <c r="M652" s="236"/>
      <c r="N652" s="236"/>
      <c r="O652" s="236"/>
    </row>
    <row r="653" spans="1:15" x14ac:dyDescent="0.25">
      <c r="A653" s="239"/>
      <c r="B653" s="239" t="s">
        <v>811</v>
      </c>
      <c r="C653" s="247"/>
      <c r="D653" s="247"/>
      <c r="E653" s="247"/>
      <c r="F653" s="247"/>
      <c r="G653" s="247"/>
      <c r="H653" s="247"/>
      <c r="I653" s="247"/>
      <c r="J653" s="247"/>
      <c r="K653" s="247"/>
      <c r="L653" s="247"/>
      <c r="M653" s="247"/>
      <c r="N653" s="247"/>
      <c r="O653" s="247"/>
    </row>
    <row r="654" spans="1:15" x14ac:dyDescent="0.25">
      <c r="A654" s="250"/>
      <c r="B654" s="250"/>
      <c r="C654" s="251"/>
      <c r="D654" s="251"/>
      <c r="E654" s="251"/>
      <c r="F654" s="251"/>
      <c r="G654" s="251"/>
      <c r="H654" s="251"/>
      <c r="I654" s="251"/>
      <c r="J654" s="251"/>
      <c r="K654" s="251"/>
      <c r="L654" s="251"/>
      <c r="M654" s="251"/>
      <c r="N654" s="251"/>
      <c r="O654" s="251"/>
    </row>
    <row r="655" spans="1:15" x14ac:dyDescent="0.25">
      <c r="A655" s="239"/>
      <c r="B655" s="239" t="s">
        <v>1163</v>
      </c>
      <c r="C655" s="247"/>
      <c r="D655" s="247"/>
      <c r="E655" s="247"/>
      <c r="F655" s="247"/>
      <c r="G655" s="247"/>
      <c r="H655" s="247"/>
      <c r="I655" s="247"/>
      <c r="J655" s="247"/>
      <c r="K655" s="247"/>
      <c r="L655" s="247"/>
      <c r="M655" s="247"/>
      <c r="N655" s="247"/>
      <c r="O655" s="247"/>
    </row>
    <row r="656" spans="1:15" x14ac:dyDescent="0.25">
      <c r="A656" s="241"/>
      <c r="B656" s="241"/>
      <c r="C656" s="243"/>
      <c r="D656" s="243"/>
      <c r="E656" s="243"/>
      <c r="F656" s="243"/>
      <c r="G656" s="243"/>
      <c r="H656" s="243"/>
      <c r="I656" s="243"/>
      <c r="J656" s="243"/>
      <c r="K656" s="243"/>
      <c r="L656" s="243"/>
      <c r="M656" s="243"/>
      <c r="N656" s="243"/>
      <c r="O656" s="243"/>
    </row>
    <row r="657" spans="1:15" x14ac:dyDescent="0.25">
      <c r="A657" s="239"/>
      <c r="B657" s="239" t="s">
        <v>1164</v>
      </c>
      <c r="C657" s="247"/>
      <c r="D657" s="247"/>
      <c r="E657" s="247"/>
      <c r="F657" s="247"/>
      <c r="G657" s="247"/>
      <c r="H657" s="247"/>
      <c r="I657" s="247"/>
      <c r="J657" s="247"/>
      <c r="K657" s="247"/>
      <c r="L657" s="247"/>
      <c r="M657" s="247"/>
      <c r="N657" s="247"/>
      <c r="O657" s="247"/>
    </row>
    <row r="658" spans="1:15" x14ac:dyDescent="0.25">
      <c r="A658" s="241"/>
      <c r="B658" s="241"/>
      <c r="C658" s="243"/>
      <c r="D658" s="243"/>
      <c r="E658" s="243"/>
      <c r="F658" s="243"/>
      <c r="G658" s="243"/>
      <c r="H658" s="243"/>
      <c r="I658" s="243"/>
      <c r="J658" s="243"/>
      <c r="K658" s="243"/>
      <c r="L658" s="243"/>
      <c r="M658" s="243"/>
      <c r="N658" s="243"/>
      <c r="O658" s="243"/>
    </row>
    <row r="659" spans="1:15" x14ac:dyDescent="0.25">
      <c r="A659" s="239"/>
      <c r="B659" s="239" t="s">
        <v>1165</v>
      </c>
      <c r="C659" s="247"/>
      <c r="D659" s="247"/>
      <c r="E659" s="247"/>
      <c r="F659" s="247"/>
      <c r="G659" s="247"/>
      <c r="H659" s="247"/>
      <c r="I659" s="247"/>
      <c r="J659" s="247"/>
      <c r="K659" s="247"/>
      <c r="L659" s="247"/>
      <c r="M659" s="247"/>
      <c r="N659" s="247"/>
      <c r="O659" s="247"/>
    </row>
    <row r="660" spans="1:15" x14ac:dyDescent="0.25">
      <c r="A660" s="239"/>
      <c r="B660" s="239"/>
      <c r="C660" s="240"/>
      <c r="D660" s="240"/>
      <c r="E660" s="240"/>
      <c r="F660" s="240"/>
      <c r="G660" s="240"/>
      <c r="H660" s="240"/>
      <c r="I660" s="240"/>
      <c r="J660" s="240"/>
      <c r="K660" s="240"/>
      <c r="L660" s="240"/>
      <c r="M660" s="240"/>
      <c r="N660" s="240"/>
      <c r="O660" s="240"/>
    </row>
    <row r="661" spans="1:15" x14ac:dyDescent="0.25">
      <c r="A661" s="239"/>
      <c r="B661" s="239" t="s">
        <v>1538</v>
      </c>
      <c r="C661" s="247"/>
      <c r="D661" s="247"/>
      <c r="E661" s="247"/>
      <c r="F661" s="247"/>
      <c r="G661" s="247"/>
      <c r="H661" s="247"/>
      <c r="I661" s="247"/>
      <c r="J661" s="247"/>
      <c r="K661" s="247"/>
      <c r="L661" s="247"/>
      <c r="M661" s="247"/>
      <c r="N661" s="247"/>
      <c r="O661" s="247"/>
    </row>
    <row r="662" spans="1:15" x14ac:dyDescent="0.25">
      <c r="A662" s="241"/>
      <c r="B662" s="241"/>
      <c r="C662" s="243"/>
      <c r="D662" s="243"/>
      <c r="E662" s="243"/>
      <c r="F662" s="243"/>
      <c r="G662" s="243"/>
      <c r="H662" s="243"/>
      <c r="I662" s="243"/>
      <c r="J662" s="243"/>
      <c r="K662" s="243"/>
      <c r="L662" s="243"/>
      <c r="M662" s="243"/>
      <c r="N662" s="243"/>
      <c r="O662" s="243"/>
    </row>
    <row r="663" spans="1:15" x14ac:dyDescent="0.25">
      <c r="A663" s="239"/>
      <c r="B663" s="239" t="s">
        <v>1166</v>
      </c>
      <c r="C663" s="247"/>
      <c r="D663" s="247"/>
      <c r="E663" s="247"/>
      <c r="F663" s="247"/>
      <c r="G663" s="247"/>
      <c r="H663" s="247"/>
      <c r="I663" s="247"/>
      <c r="J663" s="247"/>
      <c r="K663" s="247"/>
      <c r="L663" s="247"/>
      <c r="M663" s="247"/>
      <c r="N663" s="247"/>
      <c r="O663" s="247"/>
    </row>
    <row r="664" spans="1:15" x14ac:dyDescent="0.25">
      <c r="A664" s="235"/>
      <c r="B664" s="235"/>
      <c r="C664" s="236"/>
      <c r="D664" s="236"/>
      <c r="E664" s="236"/>
      <c r="F664" s="236"/>
      <c r="G664" s="236"/>
      <c r="H664" s="236"/>
      <c r="I664" s="236"/>
      <c r="J664" s="236"/>
      <c r="K664" s="236"/>
      <c r="L664" s="236"/>
      <c r="M664" s="236"/>
      <c r="N664" s="236"/>
      <c r="O664" s="236"/>
    </row>
    <row r="665" spans="1:15" x14ac:dyDescent="0.25">
      <c r="A665" s="239"/>
      <c r="B665" s="239" t="s">
        <v>1167</v>
      </c>
      <c r="C665" s="240"/>
      <c r="D665" s="240"/>
      <c r="E665" s="240"/>
      <c r="F665" s="240"/>
      <c r="G665" s="240"/>
      <c r="H665" s="240"/>
      <c r="I665" s="240"/>
      <c r="J665" s="240"/>
      <c r="K665" s="240"/>
      <c r="L665" s="240"/>
      <c r="M665" s="240"/>
      <c r="N665" s="240"/>
      <c r="O665" s="240"/>
    </row>
    <row r="666" spans="1:15" x14ac:dyDescent="0.25">
      <c r="A666" s="241" t="s">
        <v>1168</v>
      </c>
      <c r="B666" s="241" t="s">
        <v>1169</v>
      </c>
      <c r="C666" s="242">
        <v>404666.15</v>
      </c>
      <c r="D666" s="242">
        <v>448543.49</v>
      </c>
      <c r="E666" s="242">
        <v>411492.86</v>
      </c>
      <c r="F666" s="242">
        <v>416714.82</v>
      </c>
      <c r="G666" s="242">
        <v>425773.48</v>
      </c>
      <c r="H666" s="242">
        <v>408634.26</v>
      </c>
      <c r="I666" s="242">
        <v>450186.39</v>
      </c>
      <c r="J666" s="242">
        <v>439894.41</v>
      </c>
      <c r="K666" s="242">
        <v>435881.67</v>
      </c>
      <c r="L666" s="242">
        <v>364706.18</v>
      </c>
      <c r="M666" s="242">
        <v>419567.94</v>
      </c>
      <c r="N666" s="242">
        <v>409374.28</v>
      </c>
      <c r="O666" s="242">
        <v>5035435.93</v>
      </c>
    </row>
    <row r="667" spans="1:15" x14ac:dyDescent="0.25">
      <c r="A667" s="241" t="s">
        <v>1170</v>
      </c>
      <c r="B667" s="241" t="s">
        <v>1171</v>
      </c>
      <c r="C667" s="242">
        <v>14240.88</v>
      </c>
      <c r="D667" s="242">
        <v>9500.06</v>
      </c>
      <c r="E667" s="242">
        <v>13174.23</v>
      </c>
      <c r="F667" s="242">
        <v>17869.75</v>
      </c>
      <c r="G667" s="242">
        <v>28040.400000000001</v>
      </c>
      <c r="H667" s="242">
        <v>18798.89</v>
      </c>
      <c r="I667" s="242">
        <v>12959.17</v>
      </c>
      <c r="J667" s="242">
        <v>14753.84</v>
      </c>
      <c r="K667" s="242">
        <v>6546.17</v>
      </c>
      <c r="L667" s="242">
        <v>15400.29</v>
      </c>
      <c r="M667" s="242">
        <v>3315.4</v>
      </c>
      <c r="N667" s="242">
        <v>564.75</v>
      </c>
      <c r="O667" s="242">
        <v>155163.82999999999</v>
      </c>
    </row>
    <row r="668" spans="1:15" x14ac:dyDescent="0.25">
      <c r="A668" s="241" t="s">
        <v>1539</v>
      </c>
      <c r="B668" s="241" t="s">
        <v>1540</v>
      </c>
      <c r="C668" s="243"/>
      <c r="D668" s="243"/>
      <c r="E668" s="243"/>
      <c r="F668" s="243"/>
      <c r="G668" s="242">
        <v>400</v>
      </c>
      <c r="H668" s="243"/>
      <c r="I668" s="243"/>
      <c r="J668" s="243"/>
      <c r="K668" s="242">
        <v>7842.88</v>
      </c>
      <c r="L668" s="243"/>
      <c r="M668" s="243"/>
      <c r="N668" s="243"/>
      <c r="O668" s="242">
        <v>8242.8799999999992</v>
      </c>
    </row>
    <row r="669" spans="1:15" x14ac:dyDescent="0.25">
      <c r="A669" s="241" t="s">
        <v>1633</v>
      </c>
      <c r="B669" s="241" t="s">
        <v>937</v>
      </c>
      <c r="C669" s="243"/>
      <c r="D669" s="243"/>
      <c r="E669" s="243"/>
      <c r="F669" s="243"/>
      <c r="G669" s="243"/>
      <c r="H669" s="243"/>
      <c r="I669" s="243"/>
      <c r="J669" s="243"/>
      <c r="K669" s="243"/>
      <c r="L669" s="243"/>
      <c r="M669" s="242">
        <v>556.5</v>
      </c>
      <c r="N669" s="243"/>
      <c r="O669" s="242">
        <v>556.5</v>
      </c>
    </row>
    <row r="670" spans="1:15" x14ac:dyDescent="0.25">
      <c r="A670" s="241" t="s">
        <v>1172</v>
      </c>
      <c r="B670" s="241" t="s">
        <v>841</v>
      </c>
      <c r="C670" s="242">
        <v>416036.96</v>
      </c>
      <c r="D670" s="242">
        <v>426683.25</v>
      </c>
      <c r="E670" s="242">
        <v>412826.06</v>
      </c>
      <c r="F670" s="242">
        <v>394923.34</v>
      </c>
      <c r="G670" s="242">
        <v>456341.56</v>
      </c>
      <c r="H670" s="242">
        <v>436910.65</v>
      </c>
      <c r="I670" s="242">
        <v>459525.56</v>
      </c>
      <c r="J670" s="242">
        <v>414840.4</v>
      </c>
      <c r="K670" s="242">
        <v>422385.39</v>
      </c>
      <c r="L670" s="242">
        <v>413268.41</v>
      </c>
      <c r="M670" s="242">
        <v>441554.65</v>
      </c>
      <c r="N670" s="242">
        <v>444565.97</v>
      </c>
      <c r="O670" s="242">
        <v>5139862.2</v>
      </c>
    </row>
    <row r="671" spans="1:15" x14ac:dyDescent="0.25">
      <c r="A671" s="241" t="s">
        <v>1173</v>
      </c>
      <c r="B671" s="241" t="s">
        <v>1174</v>
      </c>
      <c r="C671" s="242">
        <v>148267.95000000001</v>
      </c>
      <c r="D671" s="242">
        <v>156794.04999999999</v>
      </c>
      <c r="E671" s="242">
        <v>150421.35</v>
      </c>
      <c r="F671" s="242">
        <v>153094.1</v>
      </c>
      <c r="G671" s="242">
        <v>158614.17000000001</v>
      </c>
      <c r="H671" s="242">
        <v>150403.20000000001</v>
      </c>
      <c r="I671" s="242">
        <v>162075.85999999999</v>
      </c>
      <c r="J671" s="242">
        <v>172597.81</v>
      </c>
      <c r="K671" s="242">
        <v>147366.76</v>
      </c>
      <c r="L671" s="242">
        <v>144238.92000000001</v>
      </c>
      <c r="M671" s="242">
        <v>125536.33</v>
      </c>
      <c r="N671" s="242">
        <v>123681.8</v>
      </c>
      <c r="O671" s="242">
        <v>1793092.3</v>
      </c>
    </row>
    <row r="672" spans="1:15" x14ac:dyDescent="0.25">
      <c r="A672" s="241" t="s">
        <v>1175</v>
      </c>
      <c r="B672" s="241" t="s">
        <v>847</v>
      </c>
      <c r="C672" s="242">
        <v>35435.57</v>
      </c>
      <c r="D672" s="242">
        <v>19337.82</v>
      </c>
      <c r="E672" s="242">
        <v>13227.09</v>
      </c>
      <c r="F672" s="242">
        <v>14894.93</v>
      </c>
      <c r="G672" s="242">
        <v>13449.7</v>
      </c>
      <c r="H672" s="242">
        <v>3600.19</v>
      </c>
      <c r="I672" s="242">
        <v>164093.22</v>
      </c>
      <c r="J672" s="242">
        <v>7670.51</v>
      </c>
      <c r="K672" s="242">
        <v>3391.75</v>
      </c>
      <c r="L672" s="242">
        <v>30053.13</v>
      </c>
      <c r="M672" s="242">
        <v>17951.89</v>
      </c>
      <c r="N672" s="242">
        <v>15167.4</v>
      </c>
      <c r="O672" s="242">
        <v>338273.2</v>
      </c>
    </row>
    <row r="673" spans="1:15" x14ac:dyDescent="0.25">
      <c r="A673" s="241" t="s">
        <v>1490</v>
      </c>
      <c r="B673" s="241" t="s">
        <v>848</v>
      </c>
      <c r="C673" s="242">
        <v>127.65</v>
      </c>
      <c r="D673" s="243"/>
      <c r="E673" s="243"/>
      <c r="F673" s="243"/>
      <c r="G673" s="243"/>
      <c r="H673" s="243"/>
      <c r="I673" s="243"/>
      <c r="J673" s="242">
        <v>294.44</v>
      </c>
      <c r="K673" s="242">
        <v>92.34</v>
      </c>
      <c r="L673" s="242">
        <v>182.58</v>
      </c>
      <c r="M673" s="242">
        <v>593.24</v>
      </c>
      <c r="N673" s="242">
        <v>1075.27</v>
      </c>
      <c r="O673" s="242">
        <v>2365.52</v>
      </c>
    </row>
    <row r="674" spans="1:15" x14ac:dyDescent="0.25">
      <c r="A674" s="241" t="s">
        <v>1176</v>
      </c>
      <c r="B674" s="241" t="s">
        <v>850</v>
      </c>
      <c r="C674" s="242">
        <v>19991.349999999999</v>
      </c>
      <c r="D674" s="242">
        <v>28338.42</v>
      </c>
      <c r="E674" s="242">
        <v>28437.27</v>
      </c>
      <c r="F674" s="242">
        <v>15831.98</v>
      </c>
      <c r="G674" s="242">
        <v>33324.81</v>
      </c>
      <c r="H674" s="242">
        <v>23019</v>
      </c>
      <c r="I674" s="242">
        <v>30323.99</v>
      </c>
      <c r="J674" s="242">
        <v>23543.64</v>
      </c>
      <c r="K674" s="242">
        <v>26804.9</v>
      </c>
      <c r="L674" s="242">
        <v>29900.76</v>
      </c>
      <c r="M674" s="242">
        <v>27964.84</v>
      </c>
      <c r="N674" s="242">
        <v>35377.18</v>
      </c>
      <c r="O674" s="242">
        <v>322858.14</v>
      </c>
    </row>
    <row r="675" spans="1:15" x14ac:dyDescent="0.25">
      <c r="A675" s="241" t="s">
        <v>1177</v>
      </c>
      <c r="B675" s="241" t="s">
        <v>852</v>
      </c>
      <c r="C675" s="242">
        <v>28975.09</v>
      </c>
      <c r="D675" s="242">
        <v>40607.160000000003</v>
      </c>
      <c r="E675" s="242">
        <v>40532.07</v>
      </c>
      <c r="F675" s="242">
        <v>63809.120000000003</v>
      </c>
      <c r="G675" s="242">
        <v>32912.1</v>
      </c>
      <c r="H675" s="242">
        <v>-254.17</v>
      </c>
      <c r="I675" s="242">
        <v>16315.96</v>
      </c>
      <c r="J675" s="242">
        <v>29964.799999999999</v>
      </c>
      <c r="K675" s="242">
        <v>19987.169999999998</v>
      </c>
      <c r="L675" s="242">
        <v>31942.43</v>
      </c>
      <c r="M675" s="242">
        <v>41226.6</v>
      </c>
      <c r="N675" s="242">
        <v>33310.51</v>
      </c>
      <c r="O675" s="242">
        <v>379328.84</v>
      </c>
    </row>
    <row r="676" spans="1:15" x14ac:dyDescent="0.25">
      <c r="A676" s="241" t="s">
        <v>1178</v>
      </c>
      <c r="B676" s="241" t="s">
        <v>825</v>
      </c>
      <c r="C676" s="242">
        <v>12981.09</v>
      </c>
      <c r="D676" s="242">
        <v>6028</v>
      </c>
      <c r="E676" s="242">
        <v>-68406.86</v>
      </c>
      <c r="F676" s="242">
        <v>-256480.77</v>
      </c>
      <c r="G676" s="242">
        <v>-19144.240000000002</v>
      </c>
      <c r="H676" s="242">
        <v>13320.89</v>
      </c>
      <c r="I676" s="242">
        <v>105103.85</v>
      </c>
      <c r="J676" s="242">
        <v>37333.519999999997</v>
      </c>
      <c r="K676" s="242">
        <v>53841.09</v>
      </c>
      <c r="L676" s="242">
        <v>64599.89</v>
      </c>
      <c r="M676" s="242">
        <v>48221.16</v>
      </c>
      <c r="N676" s="242">
        <v>50923.31</v>
      </c>
      <c r="O676" s="242">
        <v>48320.93</v>
      </c>
    </row>
    <row r="677" spans="1:15" x14ac:dyDescent="0.25">
      <c r="A677" s="241" t="s">
        <v>1440</v>
      </c>
      <c r="B677" s="241" t="s">
        <v>1441</v>
      </c>
      <c r="C677" s="242">
        <v>61058.45</v>
      </c>
      <c r="D677" s="242">
        <v>75703.45</v>
      </c>
      <c r="E677" s="242">
        <v>147439.29999999999</v>
      </c>
      <c r="F677" s="242">
        <v>222833.18</v>
      </c>
      <c r="G677" s="242">
        <v>117512.85</v>
      </c>
      <c r="H677" s="242">
        <v>66843.710000000006</v>
      </c>
      <c r="I677" s="242">
        <v>41052.51</v>
      </c>
      <c r="J677" s="242">
        <v>29171.29</v>
      </c>
      <c r="K677" s="242">
        <v>23542.21</v>
      </c>
      <c r="L677" s="242">
        <v>23186.19</v>
      </c>
      <c r="M677" s="242">
        <v>28225.4</v>
      </c>
      <c r="N677" s="242">
        <v>27735.95</v>
      </c>
      <c r="O677" s="242">
        <v>864304.49</v>
      </c>
    </row>
    <row r="678" spans="1:15" x14ac:dyDescent="0.25">
      <c r="A678" s="241" t="s">
        <v>1179</v>
      </c>
      <c r="B678" s="241" t="s">
        <v>855</v>
      </c>
      <c r="C678" s="242">
        <v>64233.32</v>
      </c>
      <c r="D678" s="242">
        <v>80666.080000000002</v>
      </c>
      <c r="E678" s="242">
        <v>66138.81</v>
      </c>
      <c r="F678" s="242">
        <v>66412.05</v>
      </c>
      <c r="G678" s="242">
        <v>68761.710000000006</v>
      </c>
      <c r="H678" s="242">
        <v>85870.04</v>
      </c>
      <c r="I678" s="242">
        <v>68410.460000000006</v>
      </c>
      <c r="J678" s="242">
        <v>68707.740000000005</v>
      </c>
      <c r="K678" s="242">
        <v>83094.710000000006</v>
      </c>
      <c r="L678" s="242">
        <v>92196.96</v>
      </c>
      <c r="M678" s="242">
        <v>77899.839999999997</v>
      </c>
      <c r="N678" s="242">
        <v>68254.100000000006</v>
      </c>
      <c r="O678" s="242">
        <v>890645.82</v>
      </c>
    </row>
    <row r="679" spans="1:15" x14ac:dyDescent="0.25">
      <c r="A679" s="241" t="s">
        <v>1180</v>
      </c>
      <c r="B679" s="241" t="s">
        <v>923</v>
      </c>
      <c r="C679" s="242">
        <v>4022.63</v>
      </c>
      <c r="D679" s="242">
        <v>8207.82</v>
      </c>
      <c r="E679" s="242">
        <v>3712.33</v>
      </c>
      <c r="F679" s="242">
        <v>7087.98</v>
      </c>
      <c r="G679" s="242">
        <v>6551.54</v>
      </c>
      <c r="H679" s="242">
        <v>9235.7099999999991</v>
      </c>
      <c r="I679" s="242">
        <v>7711.81</v>
      </c>
      <c r="J679" s="242">
        <v>7047.89</v>
      </c>
      <c r="K679" s="242">
        <v>9490.11</v>
      </c>
      <c r="L679" s="242">
        <v>8125.39</v>
      </c>
      <c r="M679" s="242">
        <v>4671.22</v>
      </c>
      <c r="N679" s="242">
        <v>7593.72</v>
      </c>
      <c r="O679" s="242">
        <v>83458.149999999994</v>
      </c>
    </row>
    <row r="680" spans="1:15" x14ac:dyDescent="0.25">
      <c r="A680" s="241" t="s">
        <v>1181</v>
      </c>
      <c r="B680" s="241" t="s">
        <v>861</v>
      </c>
      <c r="C680" s="242">
        <v>1659.59</v>
      </c>
      <c r="D680" s="242">
        <v>3986.16</v>
      </c>
      <c r="E680" s="242">
        <v>4082.41</v>
      </c>
      <c r="F680" s="242">
        <v>22369.48</v>
      </c>
      <c r="G680" s="242">
        <v>32662.18</v>
      </c>
      <c r="H680" s="242">
        <v>3331.47</v>
      </c>
      <c r="I680" s="242">
        <v>600.07000000000005</v>
      </c>
      <c r="J680" s="242">
        <v>7116.19</v>
      </c>
      <c r="K680" s="242">
        <v>-3545.82</v>
      </c>
      <c r="L680" s="242">
        <v>4081.9</v>
      </c>
      <c r="M680" s="242">
        <v>2330.14</v>
      </c>
      <c r="N680" s="242">
        <v>12044.41</v>
      </c>
      <c r="O680" s="242">
        <v>90718.18</v>
      </c>
    </row>
    <row r="681" spans="1:15" x14ac:dyDescent="0.25">
      <c r="A681" s="241" t="s">
        <v>1616</v>
      </c>
      <c r="B681" s="241" t="s">
        <v>1617</v>
      </c>
      <c r="C681" s="243"/>
      <c r="D681" s="243"/>
      <c r="E681" s="243"/>
      <c r="F681" s="243"/>
      <c r="G681" s="243"/>
      <c r="H681" s="243"/>
      <c r="I681" s="243"/>
      <c r="J681" s="243"/>
      <c r="K681" s="242">
        <v>17683.04</v>
      </c>
      <c r="L681" s="242">
        <v>22439.86</v>
      </c>
      <c r="M681" s="242">
        <v>41969.46</v>
      </c>
      <c r="N681" s="242">
        <v>43015.91</v>
      </c>
      <c r="O681" s="242">
        <v>125108.27</v>
      </c>
    </row>
    <row r="682" spans="1:15" x14ac:dyDescent="0.25">
      <c r="A682" s="241" t="s">
        <v>1182</v>
      </c>
      <c r="B682" s="241" t="s">
        <v>865</v>
      </c>
      <c r="C682" s="242">
        <v>869.95</v>
      </c>
      <c r="D682" s="242">
        <v>231.94</v>
      </c>
      <c r="E682" s="242">
        <v>1049.81</v>
      </c>
      <c r="F682" s="242">
        <v>23320.18</v>
      </c>
      <c r="G682" s="242">
        <v>-3921.79</v>
      </c>
      <c r="H682" s="242">
        <v>14103.85</v>
      </c>
      <c r="I682" s="242">
        <v>-1978.35</v>
      </c>
      <c r="J682" s="242">
        <v>-2291.75</v>
      </c>
      <c r="K682" s="242">
        <v>7061.69</v>
      </c>
      <c r="L682" s="242">
        <v>-701</v>
      </c>
      <c r="M682" s="242">
        <v>1016.75</v>
      </c>
      <c r="N682" s="242">
        <v>6423.91</v>
      </c>
      <c r="O682" s="242">
        <v>45185.19</v>
      </c>
    </row>
    <row r="683" spans="1:15" x14ac:dyDescent="0.25">
      <c r="A683" s="241" t="s">
        <v>1183</v>
      </c>
      <c r="B683" s="241" t="s">
        <v>1010</v>
      </c>
      <c r="C683" s="242">
        <v>33.5</v>
      </c>
      <c r="D683" s="243"/>
      <c r="E683" s="243"/>
      <c r="F683" s="243"/>
      <c r="G683" s="243"/>
      <c r="H683" s="242">
        <v>33.99</v>
      </c>
      <c r="I683" s="243"/>
      <c r="J683" s="243"/>
      <c r="K683" s="243"/>
      <c r="L683" s="243"/>
      <c r="M683" s="243"/>
      <c r="N683" s="243"/>
      <c r="O683" s="242">
        <v>67.489999999999995</v>
      </c>
    </row>
    <row r="684" spans="1:15" x14ac:dyDescent="0.25">
      <c r="A684" s="241" t="s">
        <v>1594</v>
      </c>
      <c r="B684" s="241" t="s">
        <v>1012</v>
      </c>
      <c r="C684" s="243"/>
      <c r="D684" s="243"/>
      <c r="E684" s="243"/>
      <c r="F684" s="243"/>
      <c r="G684" s="243"/>
      <c r="H684" s="243"/>
      <c r="I684" s="242">
        <v>130.32</v>
      </c>
      <c r="J684" s="242">
        <v>-130.32</v>
      </c>
      <c r="K684" s="243"/>
      <c r="L684" s="243"/>
      <c r="M684" s="242">
        <v>76.849999999999994</v>
      </c>
      <c r="N684" s="243"/>
      <c r="O684" s="242">
        <v>76.849999999999994</v>
      </c>
    </row>
    <row r="685" spans="1:15" x14ac:dyDescent="0.25">
      <c r="A685" s="241" t="s">
        <v>1184</v>
      </c>
      <c r="B685" s="241" t="s">
        <v>867</v>
      </c>
      <c r="C685" s="242">
        <v>30783.09</v>
      </c>
      <c r="D685" s="242">
        <v>23507.14</v>
      </c>
      <c r="E685" s="242">
        <v>42706.76</v>
      </c>
      <c r="F685" s="242">
        <v>16060.81</v>
      </c>
      <c r="G685" s="242">
        <v>12126.06</v>
      </c>
      <c r="H685" s="242">
        <v>21893.51</v>
      </c>
      <c r="I685" s="242">
        <v>19214.7</v>
      </c>
      <c r="J685" s="242">
        <v>8482.35</v>
      </c>
      <c r="K685" s="242">
        <v>10271.379999999999</v>
      </c>
      <c r="L685" s="242">
        <v>10966.15</v>
      </c>
      <c r="M685" s="242">
        <v>10012.73</v>
      </c>
      <c r="N685" s="242">
        <v>4426.82</v>
      </c>
      <c r="O685" s="242">
        <v>210451.5</v>
      </c>
    </row>
    <row r="686" spans="1:15" x14ac:dyDescent="0.25">
      <c r="A686" s="241" t="s">
        <v>1185</v>
      </c>
      <c r="B686" s="241" t="s">
        <v>591</v>
      </c>
      <c r="C686" s="242">
        <v>66968.37</v>
      </c>
      <c r="D686" s="242">
        <v>86107.54</v>
      </c>
      <c r="E686" s="242">
        <v>70226.97</v>
      </c>
      <c r="F686" s="242">
        <v>88857.49</v>
      </c>
      <c r="G686" s="242">
        <v>62690.81</v>
      </c>
      <c r="H686" s="242">
        <v>64623.21</v>
      </c>
      <c r="I686" s="242">
        <v>57039.48</v>
      </c>
      <c r="J686" s="242">
        <v>86055.67</v>
      </c>
      <c r="K686" s="242">
        <v>62542.879999999997</v>
      </c>
      <c r="L686" s="242">
        <v>78460.03</v>
      </c>
      <c r="M686" s="242">
        <v>71988.7</v>
      </c>
      <c r="N686" s="242">
        <v>72209.41</v>
      </c>
      <c r="O686" s="242">
        <v>867770.56</v>
      </c>
    </row>
    <row r="687" spans="1:15" x14ac:dyDescent="0.25">
      <c r="A687" s="241" t="s">
        <v>1499</v>
      </c>
      <c r="B687" s="241" t="s">
        <v>1500</v>
      </c>
      <c r="C687" s="243"/>
      <c r="D687" s="243"/>
      <c r="E687" s="242">
        <v>8983.7000000000007</v>
      </c>
      <c r="F687" s="242">
        <v>1072850.1499999999</v>
      </c>
      <c r="G687" s="243"/>
      <c r="H687" s="243"/>
      <c r="I687" s="242">
        <v>-601.94000000000005</v>
      </c>
      <c r="J687" s="242">
        <v>601.94000000000005</v>
      </c>
      <c r="K687" s="242">
        <v>4158</v>
      </c>
      <c r="L687" s="243"/>
      <c r="M687" s="243"/>
      <c r="N687" s="243"/>
      <c r="O687" s="242">
        <v>1085991.8500000001</v>
      </c>
    </row>
    <row r="688" spans="1:15" x14ac:dyDescent="0.25">
      <c r="A688" s="241" t="s">
        <v>1186</v>
      </c>
      <c r="B688" s="241" t="s">
        <v>1048</v>
      </c>
      <c r="C688" s="242">
        <v>195119.49</v>
      </c>
      <c r="D688" s="242">
        <v>208902.31</v>
      </c>
      <c r="E688" s="242">
        <v>173673.15</v>
      </c>
      <c r="F688" s="242">
        <v>220668.73</v>
      </c>
      <c r="G688" s="242">
        <v>157839.20000000001</v>
      </c>
      <c r="H688" s="242">
        <v>199505.54</v>
      </c>
      <c r="I688" s="242">
        <v>204396.72</v>
      </c>
      <c r="J688" s="242">
        <v>206669.86</v>
      </c>
      <c r="K688" s="242">
        <v>287986.43</v>
      </c>
      <c r="L688" s="242">
        <v>231130.56</v>
      </c>
      <c r="M688" s="242">
        <v>211994.68</v>
      </c>
      <c r="N688" s="242">
        <v>223954.52</v>
      </c>
      <c r="O688" s="242">
        <v>2521841.19</v>
      </c>
    </row>
    <row r="689" spans="1:15" x14ac:dyDescent="0.25">
      <c r="A689" s="241" t="s">
        <v>1187</v>
      </c>
      <c r="B689" s="241" t="s">
        <v>869</v>
      </c>
      <c r="C689" s="242">
        <v>2257.5</v>
      </c>
      <c r="D689" s="242">
        <v>200</v>
      </c>
      <c r="E689" s="242">
        <v>2062.13</v>
      </c>
      <c r="F689" s="242">
        <v>3173.8</v>
      </c>
      <c r="G689" s="243"/>
      <c r="H689" s="242">
        <v>196.89</v>
      </c>
      <c r="I689" s="242">
        <v>1285.8699999999999</v>
      </c>
      <c r="J689" s="242">
        <v>560.03</v>
      </c>
      <c r="K689" s="243"/>
      <c r="L689" s="242">
        <v>1274.6099999999999</v>
      </c>
      <c r="M689" s="242">
        <v>442.36</v>
      </c>
      <c r="N689" s="242">
        <v>690.12</v>
      </c>
      <c r="O689" s="242">
        <v>12143.31</v>
      </c>
    </row>
    <row r="690" spans="1:15" x14ac:dyDescent="0.25">
      <c r="A690" s="241" t="s">
        <v>1188</v>
      </c>
      <c r="B690" s="241" t="s">
        <v>1189</v>
      </c>
      <c r="C690" s="242">
        <v>43785.13</v>
      </c>
      <c r="D690" s="242">
        <v>30406.83</v>
      </c>
      <c r="E690" s="242">
        <v>35937.339999999997</v>
      </c>
      <c r="F690" s="242">
        <v>38495.68</v>
      </c>
      <c r="G690" s="242">
        <v>39680.5</v>
      </c>
      <c r="H690" s="242">
        <v>46836.67</v>
      </c>
      <c r="I690" s="242">
        <v>43618.81</v>
      </c>
      <c r="J690" s="242">
        <v>44562.51</v>
      </c>
      <c r="K690" s="242">
        <v>38582.720000000001</v>
      </c>
      <c r="L690" s="242">
        <v>49045.32</v>
      </c>
      <c r="M690" s="242">
        <v>52518.67</v>
      </c>
      <c r="N690" s="242">
        <v>53572.88</v>
      </c>
      <c r="O690" s="242">
        <v>517043.06</v>
      </c>
    </row>
    <row r="691" spans="1:15" x14ac:dyDescent="0.25">
      <c r="A691" s="241" t="s">
        <v>1420</v>
      </c>
      <c r="B691" s="241" t="s">
        <v>1421</v>
      </c>
      <c r="C691" s="242">
        <v>5894.12</v>
      </c>
      <c r="D691" s="242">
        <v>8347.25</v>
      </c>
      <c r="E691" s="242">
        <v>8214.4699999999993</v>
      </c>
      <c r="F691" s="242">
        <v>6673.48</v>
      </c>
      <c r="G691" s="242">
        <v>8448.48</v>
      </c>
      <c r="H691" s="242">
        <v>8892.8799999999992</v>
      </c>
      <c r="I691" s="242">
        <v>8489.06</v>
      </c>
      <c r="J691" s="242">
        <v>10140.549999999999</v>
      </c>
      <c r="K691" s="242">
        <v>8378.5</v>
      </c>
      <c r="L691" s="242">
        <v>8668.8700000000008</v>
      </c>
      <c r="M691" s="242">
        <v>9387.3700000000008</v>
      </c>
      <c r="N691" s="242">
        <v>8762.15</v>
      </c>
      <c r="O691" s="242">
        <v>100297.18</v>
      </c>
    </row>
    <row r="692" spans="1:15" x14ac:dyDescent="0.25">
      <c r="A692" s="241" t="s">
        <v>1190</v>
      </c>
      <c r="B692" s="241" t="s">
        <v>1191</v>
      </c>
      <c r="C692" s="242">
        <v>54416.29</v>
      </c>
      <c r="D692" s="242">
        <v>57552.51</v>
      </c>
      <c r="E692" s="242">
        <v>53101.760000000002</v>
      </c>
      <c r="F692" s="242">
        <v>55416.13</v>
      </c>
      <c r="G692" s="242">
        <v>51470.559999999998</v>
      </c>
      <c r="H692" s="242">
        <v>48908.87</v>
      </c>
      <c r="I692" s="242">
        <v>56672.1</v>
      </c>
      <c r="J692" s="242">
        <v>53517.89</v>
      </c>
      <c r="K692" s="242">
        <v>58483.15</v>
      </c>
      <c r="L692" s="242">
        <v>59017.83</v>
      </c>
      <c r="M692" s="242">
        <v>52204.27</v>
      </c>
      <c r="N692" s="242">
        <v>53403.66</v>
      </c>
      <c r="O692" s="242">
        <v>654165.02</v>
      </c>
    </row>
    <row r="693" spans="1:15" x14ac:dyDescent="0.25">
      <c r="A693" s="241" t="s">
        <v>1395</v>
      </c>
      <c r="B693" s="241" t="s">
        <v>1396</v>
      </c>
      <c r="C693" s="242">
        <v>51473.87</v>
      </c>
      <c r="D693" s="242">
        <v>47559.97</v>
      </c>
      <c r="E693" s="242">
        <v>26933.79</v>
      </c>
      <c r="F693" s="242">
        <v>49444.76</v>
      </c>
      <c r="G693" s="242">
        <v>28301.69</v>
      </c>
      <c r="H693" s="242">
        <v>79541.5</v>
      </c>
      <c r="I693" s="242">
        <v>45556.54</v>
      </c>
      <c r="J693" s="242">
        <v>49602.14</v>
      </c>
      <c r="K693" s="242">
        <v>33097.78</v>
      </c>
      <c r="L693" s="242">
        <v>47103.839999999997</v>
      </c>
      <c r="M693" s="242">
        <v>73171.679999999993</v>
      </c>
      <c r="N693" s="242">
        <v>48695.5</v>
      </c>
      <c r="O693" s="242">
        <v>580483.06000000006</v>
      </c>
    </row>
    <row r="694" spans="1:15" x14ac:dyDescent="0.25">
      <c r="A694" s="241" t="s">
        <v>1422</v>
      </c>
      <c r="B694" s="241" t="s">
        <v>1417</v>
      </c>
      <c r="C694" s="242">
        <v>329725.32</v>
      </c>
      <c r="D694" s="242">
        <v>74107.28</v>
      </c>
      <c r="E694" s="242">
        <v>104239.2</v>
      </c>
      <c r="F694" s="242">
        <v>115405.98</v>
      </c>
      <c r="G694" s="242">
        <v>68024.56</v>
      </c>
      <c r="H694" s="242">
        <v>69215.88</v>
      </c>
      <c r="I694" s="242">
        <v>39284.74</v>
      </c>
      <c r="J694" s="242">
        <v>90200.6</v>
      </c>
      <c r="K694" s="242">
        <v>61623.65</v>
      </c>
      <c r="L694" s="242">
        <v>24780.17</v>
      </c>
      <c r="M694" s="242">
        <v>41573.870000000003</v>
      </c>
      <c r="N694" s="242">
        <v>39165.83</v>
      </c>
      <c r="O694" s="242">
        <v>1057347.08</v>
      </c>
    </row>
    <row r="695" spans="1:15" x14ac:dyDescent="0.25">
      <c r="A695" s="241" t="s">
        <v>1481</v>
      </c>
      <c r="B695" s="241" t="s">
        <v>1478</v>
      </c>
      <c r="C695" s="242">
        <v>60412.61</v>
      </c>
      <c r="D695" s="242">
        <v>546944.13</v>
      </c>
      <c r="E695" s="242">
        <v>435831.81</v>
      </c>
      <c r="F695" s="242">
        <v>119338.56</v>
      </c>
      <c r="G695" s="242">
        <v>107787.92</v>
      </c>
      <c r="H695" s="242">
        <v>284932.13</v>
      </c>
      <c r="I695" s="242">
        <v>116620.01</v>
      </c>
      <c r="J695" s="242">
        <v>202015</v>
      </c>
      <c r="K695" s="242">
        <v>94577.27</v>
      </c>
      <c r="L695" s="242">
        <v>58830</v>
      </c>
      <c r="M695" s="242">
        <v>167486.54999999999</v>
      </c>
      <c r="N695" s="242">
        <v>217175.1</v>
      </c>
      <c r="O695" s="242">
        <v>2411951.09</v>
      </c>
    </row>
    <row r="696" spans="1:15" x14ac:dyDescent="0.25">
      <c r="A696" s="241" t="s">
        <v>1192</v>
      </c>
      <c r="B696" s="241" t="s">
        <v>871</v>
      </c>
      <c r="C696" s="242">
        <v>522802.85</v>
      </c>
      <c r="D696" s="242">
        <v>681003.31</v>
      </c>
      <c r="E696" s="242">
        <v>720557.32</v>
      </c>
      <c r="F696" s="242">
        <v>1767428.04</v>
      </c>
      <c r="G696" s="242">
        <v>519072.45</v>
      </c>
      <c r="H696" s="242">
        <v>503748.84</v>
      </c>
      <c r="I696" s="242">
        <v>487576.77</v>
      </c>
      <c r="J696" s="242">
        <v>269318.25</v>
      </c>
      <c r="K696" s="242">
        <v>400890.83</v>
      </c>
      <c r="L696" s="242">
        <v>381826.08</v>
      </c>
      <c r="M696" s="242">
        <v>234656.72</v>
      </c>
      <c r="N696" s="242">
        <v>443471.18</v>
      </c>
      <c r="O696" s="242">
        <v>6932352.6399999997</v>
      </c>
    </row>
    <row r="697" spans="1:15" x14ac:dyDescent="0.25">
      <c r="A697" s="241" t="s">
        <v>1501</v>
      </c>
      <c r="B697" s="241" t="s">
        <v>1502</v>
      </c>
      <c r="C697" s="243"/>
      <c r="D697" s="243"/>
      <c r="E697" s="242">
        <v>509172.74</v>
      </c>
      <c r="F697" s="242">
        <v>-133605.9</v>
      </c>
      <c r="G697" s="242">
        <v>139262.93</v>
      </c>
      <c r="H697" s="242">
        <v>39295.18</v>
      </c>
      <c r="I697" s="242">
        <v>64595.39</v>
      </c>
      <c r="J697" s="242">
        <v>12133.94</v>
      </c>
      <c r="K697" s="242">
        <v>64335.97</v>
      </c>
      <c r="L697" s="242">
        <v>20565.36</v>
      </c>
      <c r="M697" s="242">
        <v>36.08</v>
      </c>
      <c r="N697" s="242">
        <v>16498.45</v>
      </c>
      <c r="O697" s="242">
        <v>732290.14</v>
      </c>
    </row>
    <row r="698" spans="1:15" x14ac:dyDescent="0.25">
      <c r="A698" s="241" t="s">
        <v>1193</v>
      </c>
      <c r="B698" s="241" t="s">
        <v>1194</v>
      </c>
      <c r="C698" s="242">
        <v>169229.81</v>
      </c>
      <c r="D698" s="242">
        <v>96689.919999999998</v>
      </c>
      <c r="E698" s="242">
        <v>-365618.37</v>
      </c>
      <c r="F698" s="242">
        <v>-975526.81</v>
      </c>
      <c r="G698" s="242">
        <v>210493.77</v>
      </c>
      <c r="H698" s="242">
        <v>214339.77</v>
      </c>
      <c r="I698" s="242">
        <v>-303049.59999999998</v>
      </c>
      <c r="J698" s="242">
        <v>208142.14</v>
      </c>
      <c r="K698" s="242">
        <v>198854.58</v>
      </c>
      <c r="L698" s="242">
        <v>20243.169999999998</v>
      </c>
      <c r="M698" s="242">
        <v>229573.43</v>
      </c>
      <c r="N698" s="242">
        <v>219725.51</v>
      </c>
      <c r="O698" s="242">
        <v>-76902.679999999993</v>
      </c>
    </row>
    <row r="699" spans="1:15" x14ac:dyDescent="0.25">
      <c r="A699" s="241" t="s">
        <v>1423</v>
      </c>
      <c r="B699" s="241" t="s">
        <v>1424</v>
      </c>
      <c r="C699" s="242">
        <v>45837.26</v>
      </c>
      <c r="D699" s="242">
        <v>279357.18</v>
      </c>
      <c r="E699" s="242">
        <v>242511.07</v>
      </c>
      <c r="F699" s="242">
        <v>232065.23</v>
      </c>
      <c r="G699" s="242">
        <v>68122.759999999995</v>
      </c>
      <c r="H699" s="242">
        <v>-24185.16</v>
      </c>
      <c r="I699" s="242">
        <v>-3258.04</v>
      </c>
      <c r="J699" s="242">
        <v>5319.7</v>
      </c>
      <c r="K699" s="242">
        <v>18457.79</v>
      </c>
      <c r="L699" s="242">
        <v>-70492.479999999996</v>
      </c>
      <c r="M699" s="242">
        <v>30604.52</v>
      </c>
      <c r="N699" s="242">
        <v>6106.13</v>
      </c>
      <c r="O699" s="242">
        <v>830445.96</v>
      </c>
    </row>
    <row r="700" spans="1:15" x14ac:dyDescent="0.25">
      <c r="A700" s="241" t="s">
        <v>1195</v>
      </c>
      <c r="B700" s="241" t="s">
        <v>1196</v>
      </c>
      <c r="C700" s="242">
        <v>14001.86</v>
      </c>
      <c r="D700" s="242">
        <v>3498.71</v>
      </c>
      <c r="E700" s="242">
        <v>9357.93</v>
      </c>
      <c r="F700" s="242">
        <v>4899.22</v>
      </c>
      <c r="G700" s="242">
        <v>4143.1000000000004</v>
      </c>
      <c r="H700" s="242">
        <v>4041.3</v>
      </c>
      <c r="I700" s="242">
        <v>12187.32</v>
      </c>
      <c r="J700" s="242">
        <v>7021.68</v>
      </c>
      <c r="K700" s="242">
        <v>4041.3</v>
      </c>
      <c r="L700" s="242">
        <v>9060.93</v>
      </c>
      <c r="M700" s="242">
        <v>4831.96</v>
      </c>
      <c r="N700" s="242">
        <v>6918.08</v>
      </c>
      <c r="O700" s="242">
        <v>84003.39</v>
      </c>
    </row>
    <row r="701" spans="1:15" x14ac:dyDescent="0.25">
      <c r="A701" s="241" t="s">
        <v>1197</v>
      </c>
      <c r="B701" s="241" t="s">
        <v>1198</v>
      </c>
      <c r="C701" s="242">
        <v>51332.83</v>
      </c>
      <c r="D701" s="242">
        <v>119600.21</v>
      </c>
      <c r="E701" s="242">
        <v>177805.29</v>
      </c>
      <c r="F701" s="242">
        <v>184450.23</v>
      </c>
      <c r="G701" s="242">
        <v>96975.98</v>
      </c>
      <c r="H701" s="242">
        <v>96975.98</v>
      </c>
      <c r="I701" s="242">
        <v>96975.98</v>
      </c>
      <c r="J701" s="242">
        <v>98286.02</v>
      </c>
      <c r="K701" s="242">
        <v>98286.02</v>
      </c>
      <c r="L701" s="242">
        <v>98286.02</v>
      </c>
      <c r="M701" s="242">
        <v>79867.69</v>
      </c>
      <c r="N701" s="242">
        <v>98286.03</v>
      </c>
      <c r="O701" s="242">
        <v>1297128.28</v>
      </c>
    </row>
    <row r="702" spans="1:15" x14ac:dyDescent="0.25">
      <c r="A702" s="241" t="s">
        <v>1199</v>
      </c>
      <c r="B702" s="241" t="s">
        <v>1200</v>
      </c>
      <c r="C702" s="242">
        <v>1127992.8500000001</v>
      </c>
      <c r="D702" s="242">
        <v>1152305.8</v>
      </c>
      <c r="E702" s="242">
        <v>1152320.32</v>
      </c>
      <c r="F702" s="242">
        <v>4644370.24</v>
      </c>
      <c r="G702" s="242">
        <v>882027.58</v>
      </c>
      <c r="H702" s="242">
        <v>676776.91</v>
      </c>
      <c r="I702" s="242">
        <v>728097.71</v>
      </c>
      <c r="J702" s="242">
        <v>742695.91</v>
      </c>
      <c r="K702" s="242">
        <v>687425.66</v>
      </c>
      <c r="L702" s="242">
        <v>611814.68000000005</v>
      </c>
      <c r="M702" s="242">
        <v>388686.86</v>
      </c>
      <c r="N702" s="242">
        <v>388736.96</v>
      </c>
      <c r="O702" s="242">
        <v>13183251.48</v>
      </c>
    </row>
    <row r="703" spans="1:15" x14ac:dyDescent="0.25">
      <c r="A703" s="241" t="s">
        <v>1503</v>
      </c>
      <c r="B703" s="241" t="s">
        <v>1504</v>
      </c>
      <c r="C703" s="243"/>
      <c r="D703" s="243"/>
      <c r="E703" s="242">
        <v>740678.75</v>
      </c>
      <c r="F703" s="242">
        <v>500306.08</v>
      </c>
      <c r="G703" s="242">
        <v>9792.5</v>
      </c>
      <c r="H703" s="242">
        <v>4900</v>
      </c>
      <c r="I703" s="242">
        <v>61.25</v>
      </c>
      <c r="J703" s="242">
        <v>4897.5</v>
      </c>
      <c r="K703" s="242">
        <v>63790.98</v>
      </c>
      <c r="L703" s="242">
        <v>5224.7299999999996</v>
      </c>
      <c r="M703" s="242">
        <v>76651.25</v>
      </c>
      <c r="N703" s="242">
        <v>82592.5</v>
      </c>
      <c r="O703" s="242">
        <v>1488895.54</v>
      </c>
    </row>
    <row r="704" spans="1:15" x14ac:dyDescent="0.25">
      <c r="A704" s="241" t="s">
        <v>1482</v>
      </c>
      <c r="B704" s="241" t="s">
        <v>1483</v>
      </c>
      <c r="C704" s="242">
        <v>102.95</v>
      </c>
      <c r="D704" s="243"/>
      <c r="E704" s="243"/>
      <c r="F704" s="243"/>
      <c r="G704" s="243"/>
      <c r="H704" s="243"/>
      <c r="I704" s="243"/>
      <c r="J704" s="243"/>
      <c r="K704" s="243"/>
      <c r="L704" s="243"/>
      <c r="M704" s="243"/>
      <c r="N704" s="243"/>
      <c r="O704" s="242">
        <v>102.95</v>
      </c>
    </row>
    <row r="705" spans="1:15" x14ac:dyDescent="0.25">
      <c r="A705" s="241" t="s">
        <v>1201</v>
      </c>
      <c r="B705" s="241" t="s">
        <v>872</v>
      </c>
      <c r="C705" s="242">
        <v>3990.84</v>
      </c>
      <c r="D705" s="242">
        <v>9938.64</v>
      </c>
      <c r="E705" s="242">
        <v>3315.1</v>
      </c>
      <c r="F705" s="242">
        <v>2619.88</v>
      </c>
      <c r="G705" s="242">
        <v>4257.16</v>
      </c>
      <c r="H705" s="242">
        <v>2602.89</v>
      </c>
      <c r="I705" s="242">
        <v>2494.23</v>
      </c>
      <c r="J705" s="242">
        <v>3100.43</v>
      </c>
      <c r="K705" s="242">
        <v>7052.66</v>
      </c>
      <c r="L705" s="242">
        <v>4502.07</v>
      </c>
      <c r="M705" s="242">
        <v>4743.2299999999996</v>
      </c>
      <c r="N705" s="242">
        <v>4520.4799999999996</v>
      </c>
      <c r="O705" s="242">
        <v>53137.61</v>
      </c>
    </row>
    <row r="706" spans="1:15" x14ac:dyDescent="0.25">
      <c r="A706" s="241" t="s">
        <v>1202</v>
      </c>
      <c r="B706" s="241" t="s">
        <v>1203</v>
      </c>
      <c r="C706" s="242">
        <v>290.61</v>
      </c>
      <c r="D706" s="242">
        <v>761.41</v>
      </c>
      <c r="E706" s="242">
        <v>97.41</v>
      </c>
      <c r="F706" s="242">
        <v>321.39999999999998</v>
      </c>
      <c r="G706" s="242">
        <v>117.67</v>
      </c>
      <c r="H706" s="242">
        <v>488.55</v>
      </c>
      <c r="I706" s="242">
        <v>596.71</v>
      </c>
      <c r="J706" s="242">
        <v>1277.8599999999999</v>
      </c>
      <c r="K706" s="242">
        <v>831.01</v>
      </c>
      <c r="L706" s="242">
        <v>985.34</v>
      </c>
      <c r="M706" s="242">
        <v>792.75</v>
      </c>
      <c r="N706" s="242">
        <v>1187.8699999999999</v>
      </c>
      <c r="O706" s="242">
        <v>7748.59</v>
      </c>
    </row>
    <row r="707" spans="1:15" x14ac:dyDescent="0.25">
      <c r="A707" s="241" t="s">
        <v>1204</v>
      </c>
      <c r="B707" s="241" t="s">
        <v>873</v>
      </c>
      <c r="C707" s="242">
        <v>4695.25</v>
      </c>
      <c r="D707" s="242">
        <v>14067.35</v>
      </c>
      <c r="E707" s="242">
        <v>12251.34</v>
      </c>
      <c r="F707" s="242">
        <v>14138.22</v>
      </c>
      <c r="G707" s="242">
        <v>5746.57</v>
      </c>
      <c r="H707" s="242">
        <v>7552.72</v>
      </c>
      <c r="I707" s="242">
        <v>6430.96</v>
      </c>
      <c r="J707" s="242">
        <v>24599.99</v>
      </c>
      <c r="K707" s="242">
        <v>29252.880000000001</v>
      </c>
      <c r="L707" s="242">
        <v>17004.52</v>
      </c>
      <c r="M707" s="242">
        <v>15951.36</v>
      </c>
      <c r="N707" s="242">
        <v>12417.54</v>
      </c>
      <c r="O707" s="242">
        <v>164108.70000000001</v>
      </c>
    </row>
    <row r="708" spans="1:15" x14ac:dyDescent="0.25">
      <c r="A708" s="241" t="s">
        <v>1205</v>
      </c>
      <c r="B708" s="241" t="s">
        <v>1206</v>
      </c>
      <c r="C708" s="242">
        <v>600</v>
      </c>
      <c r="D708" s="242">
        <v>600</v>
      </c>
      <c r="E708" s="242">
        <v>677.4</v>
      </c>
      <c r="F708" s="242">
        <v>-5691.33</v>
      </c>
      <c r="G708" s="242">
        <v>1033.3499999999999</v>
      </c>
      <c r="H708" s="242">
        <v>371.16</v>
      </c>
      <c r="I708" s="242">
        <v>7200</v>
      </c>
      <c r="J708" s="242">
        <v>6800</v>
      </c>
      <c r="K708" s="242">
        <v>8800</v>
      </c>
      <c r="L708" s="242">
        <v>10800</v>
      </c>
      <c r="M708" s="242">
        <v>8000</v>
      </c>
      <c r="N708" s="242">
        <v>8457.77</v>
      </c>
      <c r="O708" s="242">
        <v>47648.35</v>
      </c>
    </row>
    <row r="709" spans="1:15" x14ac:dyDescent="0.25">
      <c r="A709" s="241" t="s">
        <v>1207</v>
      </c>
      <c r="B709" s="241" t="s">
        <v>875</v>
      </c>
      <c r="C709" s="242">
        <v>14235.61</v>
      </c>
      <c r="D709" s="242">
        <v>14969.43</v>
      </c>
      <c r="E709" s="242">
        <v>12689.65</v>
      </c>
      <c r="F709" s="242">
        <v>19160.75</v>
      </c>
      <c r="G709" s="242">
        <v>10434.52</v>
      </c>
      <c r="H709" s="242">
        <v>17842.099999999999</v>
      </c>
      <c r="I709" s="242">
        <v>22208.07</v>
      </c>
      <c r="J709" s="242">
        <v>24800.31</v>
      </c>
      <c r="K709" s="242">
        <v>37494.629999999997</v>
      </c>
      <c r="L709" s="242">
        <v>26130.39</v>
      </c>
      <c r="M709" s="242">
        <v>18041.23</v>
      </c>
      <c r="N709" s="242">
        <v>20479.23</v>
      </c>
      <c r="O709" s="242">
        <v>238485.92</v>
      </c>
    </row>
    <row r="710" spans="1:15" x14ac:dyDescent="0.25">
      <c r="A710" s="241" t="s">
        <v>1208</v>
      </c>
      <c r="B710" s="241" t="s">
        <v>1091</v>
      </c>
      <c r="C710" s="243"/>
      <c r="D710" s="243"/>
      <c r="E710" s="243"/>
      <c r="F710" s="243"/>
      <c r="G710" s="243"/>
      <c r="H710" s="243"/>
      <c r="I710" s="242">
        <v>6.16</v>
      </c>
      <c r="J710" s="243"/>
      <c r="K710" s="243"/>
      <c r="L710" s="243"/>
      <c r="M710" s="243"/>
      <c r="N710" s="243"/>
      <c r="O710" s="242">
        <v>6.16</v>
      </c>
    </row>
    <row r="711" spans="1:15" x14ac:dyDescent="0.25">
      <c r="A711" s="241" t="s">
        <v>1209</v>
      </c>
      <c r="B711" s="241" t="s">
        <v>1210</v>
      </c>
      <c r="C711" s="243"/>
      <c r="D711" s="243"/>
      <c r="E711" s="243"/>
      <c r="F711" s="243"/>
      <c r="G711" s="243"/>
      <c r="H711" s="243"/>
      <c r="I711" s="243"/>
      <c r="J711" s="242">
        <v>5000</v>
      </c>
      <c r="K711" s="242">
        <v>2500</v>
      </c>
      <c r="L711" s="243"/>
      <c r="M711" s="242">
        <v>2500</v>
      </c>
      <c r="N711" s="243"/>
      <c r="O711" s="242">
        <v>10000</v>
      </c>
    </row>
    <row r="712" spans="1:15" x14ac:dyDescent="0.25">
      <c r="A712" s="241" t="s">
        <v>1211</v>
      </c>
      <c r="B712" s="241" t="s">
        <v>877</v>
      </c>
      <c r="C712" s="243"/>
      <c r="D712" s="242">
        <v>36</v>
      </c>
      <c r="E712" s="243"/>
      <c r="F712" s="243"/>
      <c r="G712" s="243"/>
      <c r="H712" s="242">
        <v>3264.67</v>
      </c>
      <c r="I712" s="242">
        <v>1000</v>
      </c>
      <c r="J712" s="243"/>
      <c r="K712" s="243"/>
      <c r="L712" s="242">
        <v>50</v>
      </c>
      <c r="M712" s="242">
        <v>1557.67</v>
      </c>
      <c r="N712" s="242">
        <v>200</v>
      </c>
      <c r="O712" s="242">
        <v>6108.34</v>
      </c>
    </row>
    <row r="713" spans="1:15" x14ac:dyDescent="0.25">
      <c r="A713" s="241" t="s">
        <v>1372</v>
      </c>
      <c r="B713" s="241" t="s">
        <v>1373</v>
      </c>
      <c r="C713" s="242">
        <v>5600</v>
      </c>
      <c r="D713" s="242">
        <v>6342</v>
      </c>
      <c r="E713" s="242">
        <v>5600</v>
      </c>
      <c r="F713" s="242">
        <v>6000</v>
      </c>
      <c r="G713" s="242">
        <v>6800</v>
      </c>
      <c r="H713" s="242">
        <v>7400</v>
      </c>
      <c r="I713" s="242">
        <v>7200</v>
      </c>
      <c r="J713" s="242">
        <v>7200</v>
      </c>
      <c r="K713" s="242">
        <v>7783.54</v>
      </c>
      <c r="L713" s="242">
        <v>8400</v>
      </c>
      <c r="M713" s="242">
        <v>8800</v>
      </c>
      <c r="N713" s="242">
        <v>9000</v>
      </c>
      <c r="O713" s="242">
        <v>86125.54</v>
      </c>
    </row>
    <row r="714" spans="1:15" x14ac:dyDescent="0.25">
      <c r="A714" s="241" t="s">
        <v>1383</v>
      </c>
      <c r="B714" s="241" t="s">
        <v>1384</v>
      </c>
      <c r="C714" s="243"/>
      <c r="D714" s="243"/>
      <c r="E714" s="242">
        <v>884.8</v>
      </c>
      <c r="F714" s="243"/>
      <c r="G714" s="243"/>
      <c r="H714" s="242">
        <v>100.8</v>
      </c>
      <c r="I714" s="243"/>
      <c r="J714" s="243"/>
      <c r="K714" s="243"/>
      <c r="L714" s="243"/>
      <c r="M714" s="243"/>
      <c r="N714" s="242">
        <v>10236.799999999999</v>
      </c>
      <c r="O714" s="242">
        <v>11222.4</v>
      </c>
    </row>
    <row r="715" spans="1:15" x14ac:dyDescent="0.25">
      <c r="A715" s="241" t="s">
        <v>1212</v>
      </c>
      <c r="B715" s="241" t="s">
        <v>1213</v>
      </c>
      <c r="C715" s="242">
        <v>21398.89</v>
      </c>
      <c r="D715" s="242">
        <v>16168.7</v>
      </c>
      <c r="E715" s="242">
        <v>21236.49</v>
      </c>
      <c r="F715" s="242">
        <v>18179.900000000001</v>
      </c>
      <c r="G715" s="242">
        <v>22160.63</v>
      </c>
      <c r="H715" s="242">
        <v>18530.650000000001</v>
      </c>
      <c r="I715" s="242">
        <v>16813.060000000001</v>
      </c>
      <c r="J715" s="242">
        <v>20377.7</v>
      </c>
      <c r="K715" s="242">
        <v>20269.2</v>
      </c>
      <c r="L715" s="242">
        <v>30573.95</v>
      </c>
      <c r="M715" s="242">
        <v>19144.88</v>
      </c>
      <c r="N715" s="242">
        <v>16878.45</v>
      </c>
      <c r="O715" s="242">
        <v>241732.5</v>
      </c>
    </row>
    <row r="716" spans="1:15" x14ac:dyDescent="0.25">
      <c r="A716" s="241" t="s">
        <v>1214</v>
      </c>
      <c r="B716" s="241" t="s">
        <v>1215</v>
      </c>
      <c r="C716" s="242">
        <v>43378.53</v>
      </c>
      <c r="D716" s="242">
        <v>98660.74</v>
      </c>
      <c r="E716" s="242">
        <v>25205.56</v>
      </c>
      <c r="F716" s="242">
        <v>36209.42</v>
      </c>
      <c r="G716" s="242">
        <v>2231.3000000000002</v>
      </c>
      <c r="H716" s="242">
        <v>2542.63</v>
      </c>
      <c r="I716" s="242">
        <v>24422.86</v>
      </c>
      <c r="J716" s="242">
        <v>65763.960000000006</v>
      </c>
      <c r="K716" s="242">
        <v>25204.240000000002</v>
      </c>
      <c r="L716" s="242">
        <v>24407.18</v>
      </c>
      <c r="M716" s="242">
        <v>18251.669999999998</v>
      </c>
      <c r="N716" s="242">
        <v>23681.57</v>
      </c>
      <c r="O716" s="242">
        <v>389959.66</v>
      </c>
    </row>
    <row r="717" spans="1:15" x14ac:dyDescent="0.25">
      <c r="A717" s="241" t="s">
        <v>1216</v>
      </c>
      <c r="B717" s="241" t="s">
        <v>1137</v>
      </c>
      <c r="C717" s="242">
        <v>69254.94</v>
      </c>
      <c r="D717" s="242">
        <v>28977.84</v>
      </c>
      <c r="E717" s="242">
        <v>26017.89</v>
      </c>
      <c r="F717" s="242">
        <v>98112.12</v>
      </c>
      <c r="G717" s="242">
        <v>14007.61</v>
      </c>
      <c r="H717" s="242">
        <v>25648.06</v>
      </c>
      <c r="I717" s="242">
        <v>80530.789999999994</v>
      </c>
      <c r="J717" s="242">
        <v>14762.93</v>
      </c>
      <c r="K717" s="242">
        <v>39414.089999999997</v>
      </c>
      <c r="L717" s="242">
        <v>62495.57</v>
      </c>
      <c r="M717" s="242">
        <v>55172.62</v>
      </c>
      <c r="N717" s="242">
        <v>57745.39</v>
      </c>
      <c r="O717" s="242">
        <v>572139.85</v>
      </c>
    </row>
    <row r="718" spans="1:15" x14ac:dyDescent="0.25">
      <c r="A718" s="241" t="s">
        <v>1217</v>
      </c>
      <c r="B718" s="241" t="s">
        <v>1218</v>
      </c>
      <c r="C718" s="242">
        <v>8527.14</v>
      </c>
      <c r="D718" s="242">
        <v>15495.41</v>
      </c>
      <c r="E718" s="242">
        <v>2586.14</v>
      </c>
      <c r="F718" s="242">
        <v>2137.19</v>
      </c>
      <c r="G718" s="242">
        <v>3747.86</v>
      </c>
      <c r="H718" s="242">
        <v>3036.27</v>
      </c>
      <c r="I718" s="242">
        <v>6684.46</v>
      </c>
      <c r="J718" s="242">
        <v>5440.19</v>
      </c>
      <c r="K718" s="242">
        <v>-2021.51</v>
      </c>
      <c r="L718" s="242">
        <v>4228.93</v>
      </c>
      <c r="M718" s="242">
        <v>5063.33</v>
      </c>
      <c r="N718" s="242">
        <v>991.31</v>
      </c>
      <c r="O718" s="242">
        <v>55916.72</v>
      </c>
    </row>
    <row r="719" spans="1:15" x14ac:dyDescent="0.25">
      <c r="A719" s="241" t="s">
        <v>1219</v>
      </c>
      <c r="B719" s="241" t="s">
        <v>878</v>
      </c>
      <c r="C719" s="242">
        <v>2263.91</v>
      </c>
      <c r="D719" s="242">
        <v>3359.37</v>
      </c>
      <c r="E719" s="242">
        <v>3901.07</v>
      </c>
      <c r="F719" s="242">
        <v>4207.22</v>
      </c>
      <c r="G719" s="242">
        <v>3107.97</v>
      </c>
      <c r="H719" s="242">
        <v>3381.57</v>
      </c>
      <c r="I719" s="242">
        <v>3409.81</v>
      </c>
      <c r="J719" s="242">
        <v>2707.22</v>
      </c>
      <c r="K719" s="242">
        <v>3715</v>
      </c>
      <c r="L719" s="242">
        <v>3204.66</v>
      </c>
      <c r="M719" s="242">
        <v>2209.56</v>
      </c>
      <c r="N719" s="242">
        <v>173.83</v>
      </c>
      <c r="O719" s="242">
        <v>35641.19</v>
      </c>
    </row>
    <row r="720" spans="1:15" x14ac:dyDescent="0.25">
      <c r="A720" s="241" t="s">
        <v>1220</v>
      </c>
      <c r="B720" s="241" t="s">
        <v>1221</v>
      </c>
      <c r="C720" s="242">
        <v>8440.84</v>
      </c>
      <c r="D720" s="242">
        <v>7045.37</v>
      </c>
      <c r="E720" s="242">
        <v>4353</v>
      </c>
      <c r="F720" s="242">
        <v>7033.29</v>
      </c>
      <c r="G720" s="242">
        <v>3176.98</v>
      </c>
      <c r="H720" s="242">
        <v>13839.64</v>
      </c>
      <c r="I720" s="242">
        <v>17632.03</v>
      </c>
      <c r="J720" s="242">
        <v>11877.2</v>
      </c>
      <c r="K720" s="242">
        <v>10411.93</v>
      </c>
      <c r="L720" s="242">
        <v>7713.9</v>
      </c>
      <c r="M720" s="242">
        <v>6979.48</v>
      </c>
      <c r="N720" s="242">
        <v>7907.47</v>
      </c>
      <c r="O720" s="242">
        <v>106411.13</v>
      </c>
    </row>
    <row r="721" spans="1:15" x14ac:dyDescent="0.25">
      <c r="A721" s="241" t="s">
        <v>1222</v>
      </c>
      <c r="B721" s="241" t="s">
        <v>1223</v>
      </c>
      <c r="C721" s="242">
        <v>26100.78</v>
      </c>
      <c r="D721" s="242">
        <v>34648.480000000003</v>
      </c>
      <c r="E721" s="242">
        <v>31459.5</v>
      </c>
      <c r="F721" s="242">
        <v>32194.22</v>
      </c>
      <c r="G721" s="242">
        <v>32766.400000000001</v>
      </c>
      <c r="H721" s="242">
        <v>30893.759999999998</v>
      </c>
      <c r="I721" s="242">
        <v>32433.93</v>
      </c>
      <c r="J721" s="242">
        <v>31456.27</v>
      </c>
      <c r="K721" s="242">
        <v>29543.040000000001</v>
      </c>
      <c r="L721" s="242">
        <v>29743.38</v>
      </c>
      <c r="M721" s="242">
        <v>33281.980000000003</v>
      </c>
      <c r="N721" s="242">
        <v>35294</v>
      </c>
      <c r="O721" s="242">
        <v>379815.74</v>
      </c>
    </row>
    <row r="722" spans="1:15" x14ac:dyDescent="0.25">
      <c r="A722" s="241" t="s">
        <v>1224</v>
      </c>
      <c r="B722" s="241" t="s">
        <v>1225</v>
      </c>
      <c r="C722" s="242">
        <v>41520.58</v>
      </c>
      <c r="D722" s="242">
        <v>3003.91</v>
      </c>
      <c r="E722" s="242">
        <v>16733.88</v>
      </c>
      <c r="F722" s="242">
        <v>97.4</v>
      </c>
      <c r="G722" s="242">
        <v>22909</v>
      </c>
      <c r="H722" s="242">
        <v>126342.2</v>
      </c>
      <c r="I722" s="242">
        <v>253895.37</v>
      </c>
      <c r="J722" s="242">
        <v>18968.04</v>
      </c>
      <c r="K722" s="242">
        <v>12919.55</v>
      </c>
      <c r="L722" s="242">
        <v>4606.8100000000004</v>
      </c>
      <c r="M722" s="242">
        <v>90252</v>
      </c>
      <c r="N722" s="242">
        <v>40981.86</v>
      </c>
      <c r="O722" s="242">
        <v>632230.6</v>
      </c>
    </row>
    <row r="723" spans="1:15" x14ac:dyDescent="0.25">
      <c r="A723" s="241" t="s">
        <v>1226</v>
      </c>
      <c r="B723" s="241" t="s">
        <v>880</v>
      </c>
      <c r="C723" s="242">
        <v>6739.02</v>
      </c>
      <c r="D723" s="242">
        <v>1438.78</v>
      </c>
      <c r="E723" s="242">
        <v>2507.92</v>
      </c>
      <c r="F723" s="242">
        <v>6790.7</v>
      </c>
      <c r="G723" s="242">
        <v>4847.13</v>
      </c>
      <c r="H723" s="242">
        <v>17075.8</v>
      </c>
      <c r="I723" s="242">
        <v>13675.47</v>
      </c>
      <c r="J723" s="242">
        <v>5762.16</v>
      </c>
      <c r="K723" s="242">
        <v>7310.51</v>
      </c>
      <c r="L723" s="242">
        <v>6588.76</v>
      </c>
      <c r="M723" s="242">
        <v>5417.38</v>
      </c>
      <c r="N723" s="242">
        <v>8047.95</v>
      </c>
      <c r="O723" s="242">
        <v>86201.58</v>
      </c>
    </row>
    <row r="724" spans="1:15" x14ac:dyDescent="0.25">
      <c r="A724" s="241" t="s">
        <v>1227</v>
      </c>
      <c r="B724" s="241" t="s">
        <v>881</v>
      </c>
      <c r="C724" s="243"/>
      <c r="D724" s="243"/>
      <c r="E724" s="242">
        <v>7</v>
      </c>
      <c r="F724" s="243"/>
      <c r="G724" s="243"/>
      <c r="H724" s="242">
        <v>70.42</v>
      </c>
      <c r="I724" s="242">
        <v>256.24</v>
      </c>
      <c r="J724" s="242">
        <v>169.68</v>
      </c>
      <c r="K724" s="242">
        <v>265.26</v>
      </c>
      <c r="L724" s="242">
        <v>45</v>
      </c>
      <c r="M724" s="243"/>
      <c r="N724" s="242">
        <v>39.11</v>
      </c>
      <c r="O724" s="242">
        <v>852.71</v>
      </c>
    </row>
    <row r="725" spans="1:15" x14ac:dyDescent="0.25">
      <c r="A725" s="241" t="s">
        <v>1228</v>
      </c>
      <c r="B725" s="241" t="s">
        <v>883</v>
      </c>
      <c r="C725" s="242">
        <v>2455.5700000000002</v>
      </c>
      <c r="D725" s="242">
        <v>1471.3</v>
      </c>
      <c r="E725" s="242">
        <v>2552.08</v>
      </c>
      <c r="F725" s="242">
        <v>3899.72</v>
      </c>
      <c r="G725" s="242">
        <v>1884.24</v>
      </c>
      <c r="H725" s="242">
        <v>4292.33</v>
      </c>
      <c r="I725" s="242">
        <v>4905</v>
      </c>
      <c r="J725" s="242">
        <v>2515.42</v>
      </c>
      <c r="K725" s="242">
        <v>2827.8</v>
      </c>
      <c r="L725" s="242">
        <v>4571.8100000000004</v>
      </c>
      <c r="M725" s="242">
        <v>2887.47</v>
      </c>
      <c r="N725" s="242">
        <v>4421.29</v>
      </c>
      <c r="O725" s="242">
        <v>38684.03</v>
      </c>
    </row>
    <row r="726" spans="1:15" x14ac:dyDescent="0.25">
      <c r="A726" s="241" t="s">
        <v>1229</v>
      </c>
      <c r="B726" s="241" t="s">
        <v>885</v>
      </c>
      <c r="C726" s="242">
        <v>6664.33</v>
      </c>
      <c r="D726" s="242">
        <v>4698.8100000000004</v>
      </c>
      <c r="E726" s="242">
        <v>4393.8599999999997</v>
      </c>
      <c r="F726" s="242">
        <v>7168.33</v>
      </c>
      <c r="G726" s="242">
        <v>6472.82</v>
      </c>
      <c r="H726" s="242">
        <v>9818.7999999999993</v>
      </c>
      <c r="I726" s="242">
        <v>6818.13</v>
      </c>
      <c r="J726" s="242">
        <v>7046.47</v>
      </c>
      <c r="K726" s="242">
        <v>9341.07</v>
      </c>
      <c r="L726" s="242">
        <v>13264.67</v>
      </c>
      <c r="M726" s="242">
        <v>8270.92</v>
      </c>
      <c r="N726" s="242">
        <v>10567.64</v>
      </c>
      <c r="O726" s="242">
        <v>94525.85</v>
      </c>
    </row>
    <row r="727" spans="1:15" x14ac:dyDescent="0.25">
      <c r="A727" s="241" t="s">
        <v>1637</v>
      </c>
      <c r="B727" s="241" t="s">
        <v>1638</v>
      </c>
      <c r="C727" s="243"/>
      <c r="D727" s="243"/>
      <c r="E727" s="243"/>
      <c r="F727" s="243"/>
      <c r="G727" s="243"/>
      <c r="H727" s="243"/>
      <c r="I727" s="243"/>
      <c r="J727" s="243"/>
      <c r="K727" s="243"/>
      <c r="L727" s="243"/>
      <c r="M727" s="243"/>
      <c r="N727" s="242">
        <v>621.17999999999995</v>
      </c>
      <c r="O727" s="242">
        <v>621.17999999999995</v>
      </c>
    </row>
    <row r="728" spans="1:15" x14ac:dyDescent="0.25">
      <c r="A728" s="241" t="s">
        <v>1230</v>
      </c>
      <c r="B728" s="241" t="s">
        <v>1231</v>
      </c>
      <c r="C728" s="242">
        <v>19582.78</v>
      </c>
      <c r="D728" s="242">
        <v>16486.330000000002</v>
      </c>
      <c r="E728" s="242">
        <v>16486.330000000002</v>
      </c>
      <c r="F728" s="242">
        <v>16486.330000000002</v>
      </c>
      <c r="G728" s="242">
        <v>18032.78</v>
      </c>
      <c r="H728" s="242">
        <v>15777.15</v>
      </c>
      <c r="I728" s="242">
        <v>17743.7</v>
      </c>
      <c r="J728" s="242">
        <v>13239.82</v>
      </c>
      <c r="K728" s="242">
        <v>19356.169999999998</v>
      </c>
      <c r="L728" s="242">
        <v>19030.12</v>
      </c>
      <c r="M728" s="242">
        <v>17503.54</v>
      </c>
      <c r="N728" s="242">
        <v>14269.78</v>
      </c>
      <c r="O728" s="242">
        <v>203994.83</v>
      </c>
    </row>
    <row r="729" spans="1:15" x14ac:dyDescent="0.25">
      <c r="A729" s="241" t="s">
        <v>1232</v>
      </c>
      <c r="B729" s="241" t="s">
        <v>887</v>
      </c>
      <c r="C729" s="242">
        <v>2709.23</v>
      </c>
      <c r="D729" s="242">
        <v>2872.64</v>
      </c>
      <c r="E729" s="242">
        <v>3784.14</v>
      </c>
      <c r="F729" s="242">
        <v>1090.07</v>
      </c>
      <c r="G729" s="242">
        <v>4340.58</v>
      </c>
      <c r="H729" s="242">
        <v>4539.67</v>
      </c>
      <c r="I729" s="242">
        <v>1429.64</v>
      </c>
      <c r="J729" s="242">
        <v>2892.12</v>
      </c>
      <c r="K729" s="242">
        <v>3160.55</v>
      </c>
      <c r="L729" s="242">
        <v>2133.83</v>
      </c>
      <c r="M729" s="242">
        <v>2393.3200000000002</v>
      </c>
      <c r="N729" s="242">
        <v>5634.87</v>
      </c>
      <c r="O729" s="242">
        <v>36980.660000000003</v>
      </c>
    </row>
    <row r="730" spans="1:15" x14ac:dyDescent="0.25">
      <c r="A730" s="241" t="s">
        <v>1233</v>
      </c>
      <c r="B730" s="241" t="s">
        <v>1234</v>
      </c>
      <c r="C730" s="242">
        <v>8860</v>
      </c>
      <c r="D730" s="242">
        <v>9660</v>
      </c>
      <c r="E730" s="242">
        <v>8932.76</v>
      </c>
      <c r="F730" s="242">
        <v>8740</v>
      </c>
      <c r="G730" s="242">
        <v>8740</v>
      </c>
      <c r="H730" s="242">
        <v>8740</v>
      </c>
      <c r="I730" s="242">
        <v>8740</v>
      </c>
      <c r="J730" s="242">
        <v>8740</v>
      </c>
      <c r="K730" s="242">
        <v>9040</v>
      </c>
      <c r="L730" s="242">
        <v>8740</v>
      </c>
      <c r="M730" s="242">
        <v>10740</v>
      </c>
      <c r="N730" s="242">
        <v>8740</v>
      </c>
      <c r="O730" s="242">
        <v>108412.76</v>
      </c>
    </row>
    <row r="731" spans="1:15" x14ac:dyDescent="0.25">
      <c r="A731" s="241" t="s">
        <v>1235</v>
      </c>
      <c r="B731" s="241" t="s">
        <v>889</v>
      </c>
      <c r="C731" s="242">
        <v>2398.37</v>
      </c>
      <c r="D731" s="242">
        <v>2149.02</v>
      </c>
      <c r="E731" s="242">
        <v>3628.21</v>
      </c>
      <c r="F731" s="242">
        <v>3869.4</v>
      </c>
      <c r="G731" s="242">
        <v>1704.91</v>
      </c>
      <c r="H731" s="242">
        <v>1612.05</v>
      </c>
      <c r="I731" s="242">
        <v>2311.89</v>
      </c>
      <c r="J731" s="242">
        <v>2466.1999999999998</v>
      </c>
      <c r="K731" s="242">
        <v>946.7</v>
      </c>
      <c r="L731" s="242">
        <v>2124.84</v>
      </c>
      <c r="M731" s="242">
        <v>1853.64</v>
      </c>
      <c r="N731" s="242">
        <v>1736.63</v>
      </c>
      <c r="O731" s="242">
        <v>26801.86</v>
      </c>
    </row>
    <row r="732" spans="1:15" x14ac:dyDescent="0.25">
      <c r="A732" s="241" t="s">
        <v>1385</v>
      </c>
      <c r="B732" s="241" t="s">
        <v>1386</v>
      </c>
      <c r="C732" s="242">
        <v>139.24</v>
      </c>
      <c r="D732" s="243"/>
      <c r="E732" s="243"/>
      <c r="F732" s="242">
        <v>179.46</v>
      </c>
      <c r="G732" s="243"/>
      <c r="H732" s="243"/>
      <c r="I732" s="243"/>
      <c r="J732" s="242">
        <v>90.37</v>
      </c>
      <c r="K732" s="242">
        <v>50</v>
      </c>
      <c r="L732" s="243"/>
      <c r="M732" s="243"/>
      <c r="N732" s="243"/>
      <c r="O732" s="242">
        <v>459.07</v>
      </c>
    </row>
    <row r="733" spans="1:15" x14ac:dyDescent="0.25">
      <c r="A733" s="241" t="s">
        <v>1628</v>
      </c>
      <c r="B733" s="241" t="s">
        <v>1629</v>
      </c>
      <c r="C733" s="243"/>
      <c r="D733" s="243"/>
      <c r="E733" s="243"/>
      <c r="F733" s="243"/>
      <c r="G733" s="243"/>
      <c r="H733" s="243"/>
      <c r="I733" s="243"/>
      <c r="J733" s="243"/>
      <c r="K733" s="243"/>
      <c r="L733" s="242">
        <v>555.76</v>
      </c>
      <c r="M733" s="243"/>
      <c r="N733" s="242">
        <v>777.89</v>
      </c>
      <c r="O733" s="242">
        <v>1333.65</v>
      </c>
    </row>
    <row r="734" spans="1:15" x14ac:dyDescent="0.25">
      <c r="A734" s="241" t="s">
        <v>1236</v>
      </c>
      <c r="B734" s="241" t="s">
        <v>890</v>
      </c>
      <c r="C734" s="242">
        <v>16221.04</v>
      </c>
      <c r="D734" s="242">
        <v>35951.730000000003</v>
      </c>
      <c r="E734" s="242">
        <v>32653.88</v>
      </c>
      <c r="F734" s="242">
        <v>29561.03</v>
      </c>
      <c r="G734" s="242">
        <v>41839.56</v>
      </c>
      <c r="H734" s="242">
        <v>10290.85</v>
      </c>
      <c r="I734" s="242">
        <v>26195.21</v>
      </c>
      <c r="J734" s="242">
        <v>17688.900000000001</v>
      </c>
      <c r="K734" s="242">
        <v>38435.72</v>
      </c>
      <c r="L734" s="242">
        <v>23359.46</v>
      </c>
      <c r="M734" s="242">
        <v>28408.32</v>
      </c>
      <c r="N734" s="242">
        <v>23244.9</v>
      </c>
      <c r="O734" s="242">
        <v>323850.59999999998</v>
      </c>
    </row>
    <row r="735" spans="1:15" x14ac:dyDescent="0.25">
      <c r="A735" s="241" t="s">
        <v>1237</v>
      </c>
      <c r="B735" s="241" t="s">
        <v>892</v>
      </c>
      <c r="C735" s="242">
        <v>34155.49</v>
      </c>
      <c r="D735" s="242">
        <v>38131.410000000003</v>
      </c>
      <c r="E735" s="242">
        <v>30898.34</v>
      </c>
      <c r="F735" s="242">
        <v>35944.019999999997</v>
      </c>
      <c r="G735" s="242">
        <v>29472.85</v>
      </c>
      <c r="H735" s="242">
        <v>38214.79</v>
      </c>
      <c r="I735" s="242">
        <v>24860.01</v>
      </c>
      <c r="J735" s="242">
        <v>53869.71</v>
      </c>
      <c r="K735" s="242">
        <v>52633.85</v>
      </c>
      <c r="L735" s="242">
        <v>40703.26</v>
      </c>
      <c r="M735" s="242">
        <v>38712</v>
      </c>
      <c r="N735" s="242">
        <v>37241.480000000003</v>
      </c>
      <c r="O735" s="242">
        <v>454837.21</v>
      </c>
    </row>
    <row r="736" spans="1:15" x14ac:dyDescent="0.25">
      <c r="A736" s="241" t="s">
        <v>1238</v>
      </c>
      <c r="B736" s="241" t="s">
        <v>1239</v>
      </c>
      <c r="C736" s="242">
        <v>1270763.8400000001</v>
      </c>
      <c r="D736" s="242">
        <v>1257607.8999999999</v>
      </c>
      <c r="E736" s="242">
        <v>1186524.02</v>
      </c>
      <c r="F736" s="242">
        <v>1141279.42</v>
      </c>
      <c r="G736" s="242">
        <v>1178744.83</v>
      </c>
      <c r="H736" s="242">
        <v>1130830.33</v>
      </c>
      <c r="I736" s="242">
        <v>1262406.08</v>
      </c>
      <c r="J736" s="242">
        <v>1255373.0900000001</v>
      </c>
      <c r="K736" s="242">
        <v>1309315.01</v>
      </c>
      <c r="L736" s="242">
        <v>1292715.81</v>
      </c>
      <c r="M736" s="242">
        <v>1340103.67</v>
      </c>
      <c r="N736" s="242">
        <v>1305889.25</v>
      </c>
      <c r="O736" s="242">
        <v>14931553.25</v>
      </c>
    </row>
    <row r="737" spans="1:15" x14ac:dyDescent="0.25">
      <c r="A737" s="241" t="s">
        <v>1240</v>
      </c>
      <c r="B737" s="241" t="s">
        <v>893</v>
      </c>
      <c r="C737" s="242">
        <v>7010.47</v>
      </c>
      <c r="D737" s="242">
        <v>7151.59</v>
      </c>
      <c r="E737" s="242">
        <v>18093.41</v>
      </c>
      <c r="F737" s="242">
        <v>-2702.07</v>
      </c>
      <c r="G737" s="242">
        <v>10596.46</v>
      </c>
      <c r="H737" s="242">
        <v>6065.37</v>
      </c>
      <c r="I737" s="242">
        <v>10325.41</v>
      </c>
      <c r="J737" s="242">
        <v>10987.38</v>
      </c>
      <c r="K737" s="242">
        <v>12153.95</v>
      </c>
      <c r="L737" s="242">
        <v>12802.77</v>
      </c>
      <c r="M737" s="242">
        <v>5917.07</v>
      </c>
      <c r="N737" s="242">
        <v>15816.02</v>
      </c>
      <c r="O737" s="242">
        <v>114217.83</v>
      </c>
    </row>
    <row r="738" spans="1:15" x14ac:dyDescent="0.25">
      <c r="A738" s="241" t="s">
        <v>1241</v>
      </c>
      <c r="B738" s="241" t="s">
        <v>1242</v>
      </c>
      <c r="C738" s="242">
        <v>177080.94</v>
      </c>
      <c r="D738" s="242">
        <v>160936.60999999999</v>
      </c>
      <c r="E738" s="242">
        <v>160936.60999999999</v>
      </c>
      <c r="F738" s="242">
        <v>106012.89</v>
      </c>
      <c r="G738" s="242">
        <v>161357.85</v>
      </c>
      <c r="H738" s="242">
        <v>160960.04999999999</v>
      </c>
      <c r="I738" s="242">
        <v>161158.95000000001</v>
      </c>
      <c r="J738" s="242">
        <v>161158.95000000001</v>
      </c>
      <c r="K738" s="242">
        <v>161158.95000000001</v>
      </c>
      <c r="L738" s="242">
        <v>168881.35</v>
      </c>
      <c r="M738" s="242">
        <v>168881.35</v>
      </c>
      <c r="N738" s="242">
        <v>168881.35</v>
      </c>
      <c r="O738" s="242">
        <v>1917405.85</v>
      </c>
    </row>
    <row r="739" spans="1:15" x14ac:dyDescent="0.25">
      <c r="A739" s="241" t="s">
        <v>1243</v>
      </c>
      <c r="B739" s="241" t="s">
        <v>1380</v>
      </c>
      <c r="C739" s="242">
        <v>886447.9</v>
      </c>
      <c r="D739" s="242">
        <v>477775.34</v>
      </c>
      <c r="E739" s="242">
        <v>314400.44</v>
      </c>
      <c r="F739" s="242">
        <v>800121.98</v>
      </c>
      <c r="G739" s="242">
        <v>375293.57</v>
      </c>
      <c r="H739" s="242">
        <v>76669.710000000006</v>
      </c>
      <c r="I739" s="242">
        <v>-395863.97</v>
      </c>
      <c r="J739" s="242">
        <v>-66625.850000000006</v>
      </c>
      <c r="K739" s="242">
        <v>-91502.9</v>
      </c>
      <c r="L739" s="242">
        <v>133795.57999999999</v>
      </c>
      <c r="M739" s="242">
        <v>135092.48000000001</v>
      </c>
      <c r="N739" s="242">
        <v>134356.24</v>
      </c>
      <c r="O739" s="242">
        <v>2779960.52</v>
      </c>
    </row>
    <row r="740" spans="1:15" x14ac:dyDescent="0.25">
      <c r="A740" s="241" t="s">
        <v>1387</v>
      </c>
      <c r="B740" s="241" t="s">
        <v>1388</v>
      </c>
      <c r="C740" s="242">
        <v>269820.21999999997</v>
      </c>
      <c r="D740" s="242">
        <v>363356.33</v>
      </c>
      <c r="E740" s="242">
        <v>277717.40000000002</v>
      </c>
      <c r="F740" s="242">
        <v>444690.04</v>
      </c>
      <c r="G740" s="242">
        <v>210802.72</v>
      </c>
      <c r="H740" s="242">
        <v>490880.07</v>
      </c>
      <c r="I740" s="242">
        <v>408838.23</v>
      </c>
      <c r="J740" s="242">
        <v>333439.19</v>
      </c>
      <c r="K740" s="242">
        <v>193866.75</v>
      </c>
      <c r="L740" s="242">
        <v>223888.29</v>
      </c>
      <c r="M740" s="242">
        <v>181091.57</v>
      </c>
      <c r="N740" s="242">
        <v>147603.63</v>
      </c>
      <c r="O740" s="242">
        <v>3545994.44</v>
      </c>
    </row>
    <row r="741" spans="1:15" x14ac:dyDescent="0.25">
      <c r="A741" s="241" t="s">
        <v>1244</v>
      </c>
      <c r="B741" s="241" t="s">
        <v>1074</v>
      </c>
      <c r="C741" s="242">
        <v>7020.38</v>
      </c>
      <c r="D741" s="242">
        <v>4888.2</v>
      </c>
      <c r="E741" s="242">
        <v>3634.42</v>
      </c>
      <c r="F741" s="242">
        <v>6903.51</v>
      </c>
      <c r="G741" s="242">
        <v>5667.94</v>
      </c>
      <c r="H741" s="242">
        <v>3974.78</v>
      </c>
      <c r="I741" s="242">
        <v>2702.43</v>
      </c>
      <c r="J741" s="242">
        <v>8441.66</v>
      </c>
      <c r="K741" s="242">
        <v>2930.46</v>
      </c>
      <c r="L741" s="242">
        <v>2496.1999999999998</v>
      </c>
      <c r="M741" s="242">
        <v>5562.07</v>
      </c>
      <c r="N741" s="242">
        <v>18501.990000000002</v>
      </c>
      <c r="O741" s="242">
        <v>72724.039999999994</v>
      </c>
    </row>
    <row r="742" spans="1:15" x14ac:dyDescent="0.25">
      <c r="A742" s="241" t="s">
        <v>1245</v>
      </c>
      <c r="B742" s="241" t="s">
        <v>1246</v>
      </c>
      <c r="C742" s="243"/>
      <c r="D742" s="242">
        <v>19</v>
      </c>
      <c r="E742" s="243"/>
      <c r="F742" s="242">
        <v>9638.2800000000007</v>
      </c>
      <c r="G742" s="243"/>
      <c r="H742" s="243"/>
      <c r="I742" s="242">
        <v>144.25</v>
      </c>
      <c r="J742" s="243"/>
      <c r="K742" s="242">
        <v>1465.9</v>
      </c>
      <c r="L742" s="243"/>
      <c r="M742" s="242">
        <v>726.78</v>
      </c>
      <c r="N742" s="243"/>
      <c r="O742" s="242">
        <v>11994.21</v>
      </c>
    </row>
    <row r="743" spans="1:15" x14ac:dyDescent="0.25">
      <c r="A743" s="241" t="s">
        <v>1513</v>
      </c>
      <c r="B743" s="241" t="s">
        <v>1514</v>
      </c>
      <c r="C743" s="243"/>
      <c r="D743" s="243"/>
      <c r="E743" s="243"/>
      <c r="F743" s="242">
        <v>-1048255.4</v>
      </c>
      <c r="G743" s="243"/>
      <c r="H743" s="243"/>
      <c r="I743" s="243"/>
      <c r="J743" s="243"/>
      <c r="K743" s="243"/>
      <c r="L743" s="243"/>
      <c r="M743" s="243"/>
      <c r="N743" s="243"/>
      <c r="O743" s="242">
        <v>-1048255.4</v>
      </c>
    </row>
    <row r="744" spans="1:15" x14ac:dyDescent="0.25">
      <c r="A744" s="241" t="s">
        <v>1618</v>
      </c>
      <c r="B744" s="241" t="s">
        <v>1619</v>
      </c>
      <c r="C744" s="243"/>
      <c r="D744" s="243"/>
      <c r="E744" s="243"/>
      <c r="F744" s="243"/>
      <c r="G744" s="243"/>
      <c r="H744" s="243"/>
      <c r="I744" s="243"/>
      <c r="J744" s="243"/>
      <c r="K744" s="242">
        <v>775</v>
      </c>
      <c r="L744" s="243"/>
      <c r="M744" s="243"/>
      <c r="N744" s="243"/>
      <c r="O744" s="242">
        <v>775</v>
      </c>
    </row>
    <row r="745" spans="1:15" x14ac:dyDescent="0.25">
      <c r="A745" s="241" t="s">
        <v>1247</v>
      </c>
      <c r="B745" s="241" t="s">
        <v>1248</v>
      </c>
      <c r="C745" s="242">
        <v>99581.67</v>
      </c>
      <c r="D745" s="242">
        <v>118505.5</v>
      </c>
      <c r="E745" s="242">
        <v>89186.87</v>
      </c>
      <c r="F745" s="242">
        <v>100306.59</v>
      </c>
      <c r="G745" s="242">
        <v>102392.6</v>
      </c>
      <c r="H745" s="242">
        <v>99074.02</v>
      </c>
      <c r="I745" s="242">
        <v>91382.080000000002</v>
      </c>
      <c r="J745" s="242">
        <v>91382.080000000002</v>
      </c>
      <c r="K745" s="242">
        <v>80342.61</v>
      </c>
      <c r="L745" s="242">
        <v>87957.92</v>
      </c>
      <c r="M745" s="242">
        <v>77251.41</v>
      </c>
      <c r="N745" s="242">
        <v>77692.83</v>
      </c>
      <c r="O745" s="242">
        <v>1115056.18</v>
      </c>
    </row>
    <row r="746" spans="1:15" x14ac:dyDescent="0.25">
      <c r="A746" s="241" t="s">
        <v>1249</v>
      </c>
      <c r="B746" s="241" t="s">
        <v>1250</v>
      </c>
      <c r="C746" s="242">
        <v>114565.51</v>
      </c>
      <c r="D746" s="242">
        <v>106490.85</v>
      </c>
      <c r="E746" s="242">
        <v>106209.98</v>
      </c>
      <c r="F746" s="242">
        <v>105430.96</v>
      </c>
      <c r="G746" s="242">
        <v>86936.95</v>
      </c>
      <c r="H746" s="242">
        <v>77224.89</v>
      </c>
      <c r="I746" s="242">
        <v>79179.929999999993</v>
      </c>
      <c r="J746" s="242">
        <v>79468.460000000006</v>
      </c>
      <c r="K746" s="242">
        <v>79812.86</v>
      </c>
      <c r="L746" s="242">
        <v>79239.13</v>
      </c>
      <c r="M746" s="242">
        <v>81497.34</v>
      </c>
      <c r="N746" s="242">
        <v>81571.37</v>
      </c>
      <c r="O746" s="242">
        <v>1077628.23</v>
      </c>
    </row>
    <row r="747" spans="1:15" x14ac:dyDescent="0.25">
      <c r="A747" s="241" t="s">
        <v>1251</v>
      </c>
      <c r="B747" s="241" t="s">
        <v>1252</v>
      </c>
      <c r="C747" s="242">
        <v>29781.13</v>
      </c>
      <c r="D747" s="242">
        <v>16392.98</v>
      </c>
      <c r="E747" s="242">
        <v>30711.1</v>
      </c>
      <c r="F747" s="242">
        <v>70005.83</v>
      </c>
      <c r="G747" s="242">
        <v>50590.98</v>
      </c>
      <c r="H747" s="242">
        <v>32727.77</v>
      </c>
      <c r="I747" s="242">
        <v>34601.589999999997</v>
      </c>
      <c r="J747" s="242">
        <v>32655.07</v>
      </c>
      <c r="K747" s="242">
        <v>51267.98</v>
      </c>
      <c r="L747" s="242">
        <v>57574.1</v>
      </c>
      <c r="M747" s="242">
        <v>44619.15</v>
      </c>
      <c r="N747" s="242">
        <v>83312.31</v>
      </c>
      <c r="O747" s="242">
        <v>534239.99</v>
      </c>
    </row>
    <row r="748" spans="1:15" x14ac:dyDescent="0.25">
      <c r="A748" s="241" t="s">
        <v>1397</v>
      </c>
      <c r="B748" s="241" t="s">
        <v>1398</v>
      </c>
      <c r="C748" s="244">
        <v>9977.65</v>
      </c>
      <c r="D748" s="244">
        <v>9977.65</v>
      </c>
      <c r="E748" s="244">
        <v>9977.65</v>
      </c>
      <c r="F748" s="244">
        <v>683068.88</v>
      </c>
      <c r="G748" s="244">
        <v>73172.87</v>
      </c>
      <c r="H748" s="244">
        <v>71501.87</v>
      </c>
      <c r="I748" s="244">
        <v>74985.39</v>
      </c>
      <c r="J748" s="244">
        <v>57096.77</v>
      </c>
      <c r="K748" s="244">
        <v>66017.69</v>
      </c>
      <c r="L748" s="244">
        <v>62632.14</v>
      </c>
      <c r="M748" s="244">
        <v>61075.86</v>
      </c>
      <c r="N748" s="244">
        <v>62319.199999999997</v>
      </c>
      <c r="O748" s="244">
        <v>1241803.6200000001</v>
      </c>
    </row>
    <row r="749" spans="1:15" x14ac:dyDescent="0.25">
      <c r="A749" s="239"/>
      <c r="B749" s="239" t="s">
        <v>1253</v>
      </c>
      <c r="C749" s="245">
        <v>7207009.0300000003</v>
      </c>
      <c r="D749" s="245">
        <v>7610754.4100000001</v>
      </c>
      <c r="E749" s="245">
        <v>7843068.5099999998</v>
      </c>
      <c r="F749" s="245">
        <v>11938401.689999999</v>
      </c>
      <c r="G749" s="245">
        <v>6322927.9800000004</v>
      </c>
      <c r="H749" s="245">
        <v>6098469.9699999997</v>
      </c>
      <c r="I749" s="245">
        <v>5511027.79</v>
      </c>
      <c r="J749" s="245">
        <v>5672727.8399999999</v>
      </c>
      <c r="K749" s="245">
        <v>5701393.0999999996</v>
      </c>
      <c r="L749" s="245">
        <v>5367375.26</v>
      </c>
      <c r="M749" s="245">
        <v>5527114.7000000002</v>
      </c>
      <c r="N749" s="245">
        <v>5724939.7800000003</v>
      </c>
      <c r="O749" s="245">
        <v>80525210.060000002</v>
      </c>
    </row>
    <row r="750" spans="1:15" x14ac:dyDescent="0.25">
      <c r="A750" s="235"/>
      <c r="B750" s="235"/>
      <c r="C750" s="236"/>
      <c r="D750" s="236"/>
      <c r="E750" s="236"/>
      <c r="F750" s="236"/>
      <c r="G750" s="236"/>
      <c r="H750" s="236"/>
      <c r="I750" s="236"/>
      <c r="J750" s="236"/>
      <c r="K750" s="236"/>
      <c r="L750" s="236"/>
      <c r="M750" s="236"/>
      <c r="N750" s="236"/>
      <c r="O750" s="236"/>
    </row>
    <row r="751" spans="1:15" x14ac:dyDescent="0.25">
      <c r="A751" s="239"/>
      <c r="B751" s="239" t="s">
        <v>1254</v>
      </c>
      <c r="C751" s="247"/>
      <c r="D751" s="247"/>
      <c r="E751" s="247"/>
      <c r="F751" s="247"/>
      <c r="G751" s="247"/>
      <c r="H751" s="247"/>
      <c r="I751" s="247"/>
      <c r="J751" s="247"/>
      <c r="K751" s="247"/>
      <c r="L751" s="247"/>
      <c r="M751" s="247"/>
      <c r="N751" s="247"/>
      <c r="O751" s="247"/>
    </row>
    <row r="752" spans="1:15" x14ac:dyDescent="0.25">
      <c r="A752" s="235"/>
      <c r="B752" s="235"/>
      <c r="C752" s="236"/>
      <c r="D752" s="236"/>
      <c r="E752" s="236"/>
      <c r="F752" s="236"/>
      <c r="G752" s="236"/>
      <c r="H752" s="236"/>
      <c r="I752" s="236"/>
      <c r="J752" s="236"/>
      <c r="K752" s="236"/>
      <c r="L752" s="236"/>
      <c r="M752" s="236"/>
      <c r="N752" s="236"/>
      <c r="O752" s="236"/>
    </row>
    <row r="753" spans="1:15" x14ac:dyDescent="0.25">
      <c r="A753" s="239"/>
      <c r="B753" s="239" t="s">
        <v>1255</v>
      </c>
      <c r="C753" s="247"/>
      <c r="D753" s="247"/>
      <c r="E753" s="247"/>
      <c r="F753" s="247"/>
      <c r="G753" s="247"/>
      <c r="H753" s="247"/>
      <c r="I753" s="247"/>
      <c r="J753" s="247"/>
      <c r="K753" s="247"/>
      <c r="L753" s="247"/>
      <c r="M753" s="247"/>
      <c r="N753" s="247"/>
      <c r="O753" s="247"/>
    </row>
    <row r="754" spans="1:15" x14ac:dyDescent="0.25">
      <c r="A754" s="235"/>
      <c r="B754" s="235"/>
      <c r="C754" s="236"/>
      <c r="D754" s="236"/>
      <c r="E754" s="236"/>
      <c r="F754" s="236"/>
      <c r="G754" s="236"/>
      <c r="H754" s="236"/>
      <c r="I754" s="236"/>
      <c r="J754" s="236"/>
      <c r="K754" s="236"/>
      <c r="L754" s="236"/>
      <c r="M754" s="236"/>
      <c r="N754" s="236"/>
      <c r="O754" s="236"/>
    </row>
    <row r="755" spans="1:15" x14ac:dyDescent="0.25">
      <c r="A755" s="239"/>
      <c r="B755" s="239" t="s">
        <v>1256</v>
      </c>
      <c r="C755" s="247"/>
      <c r="D755" s="247"/>
      <c r="E755" s="247"/>
      <c r="F755" s="247"/>
      <c r="G755" s="247"/>
      <c r="H755" s="247"/>
      <c r="I755" s="247"/>
      <c r="J755" s="247"/>
      <c r="K755" s="247"/>
      <c r="L755" s="247"/>
      <c r="M755" s="247"/>
      <c r="N755" s="247"/>
      <c r="O755" s="247"/>
    </row>
    <row r="756" spans="1:15" x14ac:dyDescent="0.25">
      <c r="A756" s="235"/>
      <c r="B756" s="235"/>
      <c r="C756" s="236"/>
      <c r="D756" s="236"/>
      <c r="E756" s="236"/>
      <c r="F756" s="236"/>
      <c r="G756" s="236"/>
      <c r="H756" s="236"/>
      <c r="I756" s="236"/>
      <c r="J756" s="236"/>
      <c r="K756" s="236"/>
      <c r="L756" s="236"/>
      <c r="M756" s="236"/>
      <c r="N756" s="236"/>
      <c r="O756" s="236"/>
    </row>
    <row r="757" spans="1:15" x14ac:dyDescent="0.25">
      <c r="A757" s="239"/>
      <c r="B757" s="239" t="s">
        <v>1257</v>
      </c>
      <c r="C757" s="247"/>
      <c r="D757" s="247"/>
      <c r="E757" s="247"/>
      <c r="F757" s="247"/>
      <c r="G757" s="247"/>
      <c r="H757" s="247"/>
      <c r="I757" s="247"/>
      <c r="J757" s="247"/>
      <c r="K757" s="247"/>
      <c r="L757" s="247"/>
      <c r="M757" s="247"/>
      <c r="N757" s="247"/>
      <c r="O757" s="247"/>
    </row>
    <row r="758" spans="1:15" x14ac:dyDescent="0.25">
      <c r="A758" s="235"/>
      <c r="B758" s="235"/>
      <c r="C758" s="236"/>
      <c r="D758" s="236"/>
      <c r="E758" s="236"/>
      <c r="F758" s="236"/>
      <c r="G758" s="236"/>
      <c r="H758" s="236"/>
      <c r="I758" s="236"/>
      <c r="J758" s="236"/>
      <c r="K758" s="236"/>
      <c r="L758" s="236"/>
      <c r="M758" s="236"/>
      <c r="N758" s="236"/>
      <c r="O758" s="236"/>
    </row>
    <row r="759" spans="1:15" x14ac:dyDescent="0.25">
      <c r="A759" s="239"/>
      <c r="B759" s="239" t="s">
        <v>1258</v>
      </c>
      <c r="C759" s="247"/>
      <c r="D759" s="247"/>
      <c r="E759" s="247"/>
      <c r="F759" s="247"/>
      <c r="G759" s="247"/>
      <c r="H759" s="247"/>
      <c r="I759" s="247"/>
      <c r="J759" s="247"/>
      <c r="K759" s="247"/>
      <c r="L759" s="247"/>
      <c r="M759" s="247"/>
      <c r="N759" s="247"/>
      <c r="O759" s="247"/>
    </row>
    <row r="760" spans="1:15" x14ac:dyDescent="0.25">
      <c r="A760" s="235"/>
      <c r="B760" s="235"/>
      <c r="C760" s="236"/>
      <c r="D760" s="236"/>
      <c r="E760" s="236"/>
      <c r="F760" s="236"/>
      <c r="G760" s="236"/>
      <c r="H760" s="236"/>
      <c r="I760" s="236"/>
      <c r="J760" s="236"/>
      <c r="K760" s="236"/>
      <c r="L760" s="236"/>
      <c r="M760" s="236"/>
      <c r="N760" s="236"/>
      <c r="O760" s="236"/>
    </row>
    <row r="761" spans="1:15" x14ac:dyDescent="0.25">
      <c r="A761" s="239"/>
      <c r="B761" s="239" t="s">
        <v>1259</v>
      </c>
      <c r="C761" s="247"/>
      <c r="D761" s="247"/>
      <c r="E761" s="247"/>
      <c r="F761" s="247"/>
      <c r="G761" s="247"/>
      <c r="H761" s="247"/>
      <c r="I761" s="247"/>
      <c r="J761" s="247"/>
      <c r="K761" s="247"/>
      <c r="L761" s="247"/>
      <c r="M761" s="247"/>
      <c r="N761" s="247"/>
      <c r="O761" s="247"/>
    </row>
    <row r="762" spans="1:15" x14ac:dyDescent="0.25">
      <c r="A762" s="235"/>
      <c r="B762" s="235"/>
      <c r="C762" s="236"/>
      <c r="D762" s="236"/>
      <c r="E762" s="236"/>
      <c r="F762" s="236"/>
      <c r="G762" s="236"/>
      <c r="H762" s="236"/>
      <c r="I762" s="236"/>
      <c r="J762" s="236"/>
      <c r="K762" s="236"/>
      <c r="L762" s="236"/>
      <c r="M762" s="236"/>
      <c r="N762" s="236"/>
      <c r="O762" s="236"/>
    </row>
    <row r="763" spans="1:15" x14ac:dyDescent="0.25">
      <c r="A763" s="239"/>
      <c r="B763" s="239" t="s">
        <v>1260</v>
      </c>
      <c r="C763" s="247"/>
      <c r="D763" s="247"/>
      <c r="E763" s="247"/>
      <c r="F763" s="247"/>
      <c r="G763" s="247"/>
      <c r="H763" s="247"/>
      <c r="I763" s="247"/>
      <c r="J763" s="247"/>
      <c r="K763" s="247"/>
      <c r="L763" s="247"/>
      <c r="M763" s="247"/>
      <c r="N763" s="247"/>
      <c r="O763" s="247"/>
    </row>
    <row r="764" spans="1:15" x14ac:dyDescent="0.25">
      <c r="A764" s="235"/>
      <c r="B764" s="235"/>
      <c r="C764" s="236"/>
      <c r="D764" s="236"/>
      <c r="E764" s="236"/>
      <c r="F764" s="236"/>
      <c r="G764" s="236"/>
      <c r="H764" s="236"/>
      <c r="I764" s="236"/>
      <c r="J764" s="236"/>
      <c r="K764" s="236"/>
      <c r="L764" s="236"/>
      <c r="M764" s="236"/>
      <c r="N764" s="236"/>
      <c r="O764" s="236"/>
    </row>
    <row r="765" spans="1:15" x14ac:dyDescent="0.25">
      <c r="A765" s="239"/>
      <c r="B765" s="239" t="s">
        <v>1261</v>
      </c>
      <c r="C765" s="247"/>
      <c r="D765" s="247"/>
      <c r="E765" s="247"/>
      <c r="F765" s="247"/>
      <c r="G765" s="247"/>
      <c r="H765" s="247"/>
      <c r="I765" s="247"/>
      <c r="J765" s="247"/>
      <c r="K765" s="247"/>
      <c r="L765" s="247"/>
      <c r="M765" s="247"/>
      <c r="N765" s="247"/>
      <c r="O765" s="247"/>
    </row>
    <row r="766" spans="1:15" x14ac:dyDescent="0.25">
      <c r="A766" s="235"/>
      <c r="B766" s="235"/>
      <c r="C766" s="236"/>
      <c r="D766" s="236"/>
      <c r="E766" s="236"/>
      <c r="F766" s="236"/>
      <c r="G766" s="236"/>
      <c r="H766" s="236"/>
      <c r="I766" s="236"/>
      <c r="J766" s="236"/>
      <c r="K766" s="236"/>
      <c r="L766" s="236"/>
      <c r="M766" s="236"/>
      <c r="N766" s="236"/>
      <c r="O766" s="236"/>
    </row>
    <row r="767" spans="1:15" x14ac:dyDescent="0.25">
      <c r="A767" s="239"/>
      <c r="B767" s="239" t="s">
        <v>1262</v>
      </c>
      <c r="C767" s="247"/>
      <c r="D767" s="247"/>
      <c r="E767" s="247"/>
      <c r="F767" s="247"/>
      <c r="G767" s="247"/>
      <c r="H767" s="247"/>
      <c r="I767" s="247"/>
      <c r="J767" s="247"/>
      <c r="K767" s="247"/>
      <c r="L767" s="247"/>
      <c r="M767" s="247"/>
      <c r="N767" s="247"/>
      <c r="O767" s="247"/>
    </row>
    <row r="768" spans="1:15" x14ac:dyDescent="0.25">
      <c r="A768" s="235"/>
      <c r="B768" s="235"/>
      <c r="C768" s="236"/>
      <c r="D768" s="236"/>
      <c r="E768" s="236"/>
      <c r="F768" s="236"/>
      <c r="G768" s="236"/>
      <c r="H768" s="236"/>
      <c r="I768" s="236"/>
      <c r="J768" s="236"/>
      <c r="K768" s="236"/>
      <c r="L768" s="236"/>
      <c r="M768" s="236"/>
      <c r="N768" s="236"/>
      <c r="O768" s="236"/>
    </row>
    <row r="769" spans="1:15" x14ac:dyDescent="0.25">
      <c r="A769" s="239"/>
      <c r="B769" s="239" t="s">
        <v>1263</v>
      </c>
      <c r="C769" s="247"/>
      <c r="D769" s="247"/>
      <c r="E769" s="247"/>
      <c r="F769" s="247"/>
      <c r="G769" s="247"/>
      <c r="H769" s="247"/>
      <c r="I769" s="247"/>
      <c r="J769" s="247"/>
      <c r="K769" s="247"/>
      <c r="L769" s="247"/>
      <c r="M769" s="247"/>
      <c r="N769" s="247"/>
      <c r="O769" s="247"/>
    </row>
    <row r="770" spans="1:15" x14ac:dyDescent="0.25">
      <c r="A770" s="235"/>
      <c r="B770" s="235"/>
      <c r="C770" s="236"/>
      <c r="D770" s="236"/>
      <c r="E770" s="236"/>
      <c r="F770" s="236"/>
      <c r="G770" s="236"/>
      <c r="H770" s="236"/>
      <c r="I770" s="236"/>
      <c r="J770" s="236"/>
      <c r="K770" s="236"/>
      <c r="L770" s="236"/>
      <c r="M770" s="236"/>
      <c r="N770" s="236"/>
      <c r="O770" s="236"/>
    </row>
    <row r="771" spans="1:15" x14ac:dyDescent="0.25">
      <c r="A771" s="239"/>
      <c r="B771" s="239" t="s">
        <v>1264</v>
      </c>
      <c r="C771" s="247"/>
      <c r="D771" s="247"/>
      <c r="E771" s="247"/>
      <c r="F771" s="247"/>
      <c r="G771" s="247"/>
      <c r="H771" s="247"/>
      <c r="I771" s="247"/>
      <c r="J771" s="247"/>
      <c r="K771" s="247"/>
      <c r="L771" s="247"/>
      <c r="M771" s="247"/>
      <c r="N771" s="247"/>
      <c r="O771" s="247"/>
    </row>
    <row r="772" spans="1:15" x14ac:dyDescent="0.25">
      <c r="A772" s="235"/>
      <c r="B772" s="235"/>
      <c r="C772" s="236"/>
      <c r="D772" s="236"/>
      <c r="E772" s="236"/>
      <c r="F772" s="236"/>
      <c r="G772" s="236"/>
      <c r="H772" s="236"/>
      <c r="I772" s="236"/>
      <c r="J772" s="236"/>
      <c r="K772" s="236"/>
      <c r="L772" s="236"/>
      <c r="M772" s="236"/>
      <c r="N772" s="236"/>
      <c r="O772" s="236"/>
    </row>
    <row r="773" spans="1:15" x14ac:dyDescent="0.25">
      <c r="A773" s="239"/>
      <c r="B773" s="239" t="s">
        <v>1265</v>
      </c>
      <c r="C773" s="247"/>
      <c r="D773" s="247"/>
      <c r="E773" s="247"/>
      <c r="F773" s="247"/>
      <c r="G773" s="247"/>
      <c r="H773" s="247"/>
      <c r="I773" s="247"/>
      <c r="J773" s="247"/>
      <c r="K773" s="247"/>
      <c r="L773" s="247"/>
      <c r="M773" s="247"/>
      <c r="N773" s="247"/>
      <c r="O773" s="247"/>
    </row>
    <row r="774" spans="1:15" x14ac:dyDescent="0.25">
      <c r="A774" s="235"/>
      <c r="B774" s="235"/>
      <c r="C774" s="236"/>
      <c r="D774" s="236"/>
      <c r="E774" s="236"/>
      <c r="F774" s="236"/>
      <c r="G774" s="236"/>
      <c r="H774" s="236"/>
      <c r="I774" s="236"/>
      <c r="J774" s="236"/>
      <c r="K774" s="236"/>
      <c r="L774" s="236"/>
      <c r="M774" s="236"/>
      <c r="N774" s="236"/>
      <c r="O774" s="236"/>
    </row>
    <row r="775" spans="1:15" x14ac:dyDescent="0.25">
      <c r="A775" s="239"/>
      <c r="B775" s="239" t="s">
        <v>1266</v>
      </c>
      <c r="C775" s="247"/>
      <c r="D775" s="247"/>
      <c r="E775" s="247"/>
      <c r="F775" s="247"/>
      <c r="G775" s="247"/>
      <c r="H775" s="247"/>
      <c r="I775" s="247"/>
      <c r="J775" s="247"/>
      <c r="K775" s="247"/>
      <c r="L775" s="247"/>
      <c r="M775" s="247"/>
      <c r="N775" s="247"/>
      <c r="O775" s="247"/>
    </row>
    <row r="776" spans="1:15" x14ac:dyDescent="0.25">
      <c r="A776" s="239"/>
      <c r="B776" s="239"/>
      <c r="C776" s="240"/>
      <c r="D776" s="240"/>
      <c r="E776" s="240"/>
      <c r="F776" s="240"/>
      <c r="G776" s="240"/>
      <c r="H776" s="240"/>
      <c r="I776" s="240"/>
      <c r="J776" s="240"/>
      <c r="K776" s="240"/>
      <c r="L776" s="240"/>
      <c r="M776" s="240"/>
      <c r="N776" s="240"/>
      <c r="O776" s="240"/>
    </row>
    <row r="777" spans="1:15" x14ac:dyDescent="0.25">
      <c r="A777" s="239"/>
      <c r="B777" s="239" t="s">
        <v>1267</v>
      </c>
      <c r="C777" s="247"/>
      <c r="D777" s="247"/>
      <c r="E777" s="247"/>
      <c r="F777" s="247"/>
      <c r="G777" s="247"/>
      <c r="H777" s="247"/>
      <c r="I777" s="247"/>
      <c r="J777" s="247"/>
      <c r="K777" s="247"/>
      <c r="L777" s="247"/>
      <c r="M777" s="247"/>
      <c r="N777" s="247"/>
      <c r="O777" s="247"/>
    </row>
    <row r="778" spans="1:15" x14ac:dyDescent="0.25">
      <c r="A778" s="235"/>
      <c r="B778" s="235"/>
      <c r="C778" s="236"/>
      <c r="D778" s="236"/>
      <c r="E778" s="236"/>
      <c r="F778" s="236"/>
      <c r="G778" s="236"/>
      <c r="H778" s="236"/>
      <c r="I778" s="236"/>
      <c r="J778" s="236"/>
      <c r="K778" s="236"/>
      <c r="L778" s="236"/>
      <c r="M778" s="236"/>
      <c r="N778" s="236"/>
      <c r="O778" s="236"/>
    </row>
    <row r="779" spans="1:15" x14ac:dyDescent="0.25">
      <c r="A779" s="239"/>
      <c r="B779" s="239" t="s">
        <v>1268</v>
      </c>
      <c r="C779" s="247"/>
      <c r="D779" s="247"/>
      <c r="E779" s="247"/>
      <c r="F779" s="247"/>
      <c r="G779" s="247"/>
      <c r="H779" s="247"/>
      <c r="I779" s="247"/>
      <c r="J779" s="247"/>
      <c r="K779" s="247"/>
      <c r="L779" s="247"/>
      <c r="M779" s="247"/>
      <c r="N779" s="247"/>
      <c r="O779" s="247"/>
    </row>
    <row r="780" spans="1:15" x14ac:dyDescent="0.25">
      <c r="A780" s="235"/>
      <c r="B780" s="235"/>
      <c r="C780" s="236"/>
      <c r="D780" s="236"/>
      <c r="E780" s="236"/>
      <c r="F780" s="236"/>
      <c r="G780" s="236"/>
      <c r="H780" s="236"/>
      <c r="I780" s="236"/>
      <c r="J780" s="236"/>
      <c r="K780" s="236"/>
      <c r="L780" s="236"/>
      <c r="M780" s="236"/>
      <c r="N780" s="236"/>
      <c r="O780" s="236"/>
    </row>
    <row r="781" spans="1:15" x14ac:dyDescent="0.25">
      <c r="A781" s="239"/>
      <c r="B781" s="239" t="s">
        <v>1269</v>
      </c>
      <c r="C781" s="247"/>
      <c r="D781" s="247"/>
      <c r="E781" s="247"/>
      <c r="F781" s="247"/>
      <c r="G781" s="247"/>
      <c r="H781" s="247"/>
      <c r="I781" s="247"/>
      <c r="J781" s="247"/>
      <c r="K781" s="247"/>
      <c r="L781" s="247"/>
      <c r="M781" s="247"/>
      <c r="N781" s="247"/>
      <c r="O781" s="247"/>
    </row>
    <row r="782" spans="1:15" x14ac:dyDescent="0.25">
      <c r="A782" s="235"/>
      <c r="B782" s="235"/>
      <c r="C782" s="236"/>
      <c r="D782" s="236"/>
      <c r="E782" s="236"/>
      <c r="F782" s="236"/>
      <c r="G782" s="236"/>
      <c r="H782" s="236"/>
      <c r="I782" s="236"/>
      <c r="J782" s="236"/>
      <c r="K782" s="236"/>
      <c r="L782" s="236"/>
      <c r="M782" s="236"/>
      <c r="N782" s="236"/>
      <c r="O782" s="236"/>
    </row>
    <row r="783" spans="1:15" x14ac:dyDescent="0.25">
      <c r="A783" s="239"/>
      <c r="B783" s="239" t="s">
        <v>1270</v>
      </c>
      <c r="C783" s="247"/>
      <c r="D783" s="247"/>
      <c r="E783" s="247"/>
      <c r="F783" s="247"/>
      <c r="G783" s="247"/>
      <c r="H783" s="247"/>
      <c r="I783" s="247"/>
      <c r="J783" s="247"/>
      <c r="K783" s="247"/>
      <c r="L783" s="247"/>
      <c r="M783" s="247"/>
      <c r="N783" s="247"/>
      <c r="O783" s="247"/>
    </row>
    <row r="784" spans="1:15" x14ac:dyDescent="0.25">
      <c r="A784" s="235"/>
      <c r="B784" s="235"/>
      <c r="C784" s="236"/>
      <c r="D784" s="236"/>
      <c r="E784" s="236"/>
      <c r="F784" s="236"/>
      <c r="G784" s="236"/>
      <c r="H784" s="236"/>
      <c r="I784" s="236"/>
      <c r="J784" s="236"/>
      <c r="K784" s="236"/>
      <c r="L784" s="236"/>
      <c r="M784" s="236"/>
      <c r="N784" s="236"/>
      <c r="O784" s="236"/>
    </row>
    <row r="785" spans="1:15" x14ac:dyDescent="0.25">
      <c r="A785" s="239"/>
      <c r="B785" s="239" t="s">
        <v>1271</v>
      </c>
      <c r="C785" s="247"/>
      <c r="D785" s="247"/>
      <c r="E785" s="247"/>
      <c r="F785" s="247"/>
      <c r="G785" s="247"/>
      <c r="H785" s="247"/>
      <c r="I785" s="247"/>
      <c r="J785" s="247"/>
      <c r="K785" s="247"/>
      <c r="L785" s="247"/>
      <c r="M785" s="247"/>
      <c r="N785" s="247"/>
      <c r="O785" s="247"/>
    </row>
    <row r="786" spans="1:15" x14ac:dyDescent="0.25">
      <c r="A786" s="235"/>
      <c r="B786" s="235"/>
      <c r="C786" s="236"/>
      <c r="D786" s="236"/>
      <c r="E786" s="236"/>
      <c r="F786" s="236"/>
      <c r="G786" s="236"/>
      <c r="H786" s="236"/>
      <c r="I786" s="236"/>
      <c r="J786" s="236"/>
      <c r="K786" s="236"/>
      <c r="L786" s="236"/>
      <c r="M786" s="236"/>
      <c r="N786" s="236"/>
      <c r="O786" s="236"/>
    </row>
    <row r="787" spans="1:15" x14ac:dyDescent="0.25">
      <c r="A787" s="239"/>
      <c r="B787" s="239" t="s">
        <v>1272</v>
      </c>
      <c r="C787" s="247"/>
      <c r="D787" s="247"/>
      <c r="E787" s="247"/>
      <c r="F787" s="247"/>
      <c r="G787" s="247"/>
      <c r="H787" s="247"/>
      <c r="I787" s="247"/>
      <c r="J787" s="247"/>
      <c r="K787" s="247"/>
      <c r="L787" s="247"/>
      <c r="M787" s="247"/>
      <c r="N787" s="247"/>
      <c r="O787" s="247"/>
    </row>
    <row r="788" spans="1:15" x14ac:dyDescent="0.25">
      <c r="A788" s="235"/>
      <c r="B788" s="235"/>
      <c r="C788" s="236"/>
      <c r="D788" s="236"/>
      <c r="E788" s="236"/>
      <c r="F788" s="236"/>
      <c r="G788" s="236"/>
      <c r="H788" s="236"/>
      <c r="I788" s="236"/>
      <c r="J788" s="236"/>
      <c r="K788" s="236"/>
      <c r="L788" s="236"/>
      <c r="M788" s="236"/>
      <c r="N788" s="236"/>
      <c r="O788" s="236"/>
    </row>
    <row r="789" spans="1:15" x14ac:dyDescent="0.25">
      <c r="A789" s="239"/>
      <c r="B789" s="239" t="s">
        <v>1273</v>
      </c>
      <c r="C789" s="247"/>
      <c r="D789" s="247"/>
      <c r="E789" s="247"/>
      <c r="F789" s="247"/>
      <c r="G789" s="247"/>
      <c r="H789" s="247"/>
      <c r="I789" s="247"/>
      <c r="J789" s="247"/>
      <c r="K789" s="247"/>
      <c r="L789" s="247"/>
      <c r="M789" s="247"/>
      <c r="N789" s="247"/>
      <c r="O789" s="247"/>
    </row>
    <row r="790" spans="1:15" x14ac:dyDescent="0.25">
      <c r="A790" s="235"/>
      <c r="B790" s="235"/>
      <c r="C790" s="236"/>
      <c r="D790" s="236"/>
      <c r="E790" s="236"/>
      <c r="F790" s="236"/>
      <c r="G790" s="236"/>
      <c r="H790" s="236"/>
      <c r="I790" s="236"/>
      <c r="J790" s="236"/>
      <c r="K790" s="236"/>
      <c r="L790" s="236"/>
      <c r="M790" s="236"/>
      <c r="N790" s="236"/>
      <c r="O790" s="236"/>
    </row>
    <row r="791" spans="1:15" x14ac:dyDescent="0.25">
      <c r="A791" s="239"/>
      <c r="B791" s="239" t="s">
        <v>1274</v>
      </c>
      <c r="C791" s="247"/>
      <c r="D791" s="247"/>
      <c r="E791" s="247"/>
      <c r="F791" s="247"/>
      <c r="G791" s="247"/>
      <c r="H791" s="247"/>
      <c r="I791" s="247"/>
      <c r="J791" s="247"/>
      <c r="K791" s="247"/>
      <c r="L791" s="247"/>
      <c r="M791" s="247"/>
      <c r="N791" s="247"/>
      <c r="O791" s="247"/>
    </row>
    <row r="792" spans="1:15" x14ac:dyDescent="0.25">
      <c r="A792" s="235"/>
      <c r="B792" s="235"/>
      <c r="C792" s="236"/>
      <c r="D792" s="236"/>
      <c r="E792" s="236"/>
      <c r="F792" s="236"/>
      <c r="G792" s="236"/>
      <c r="H792" s="236"/>
      <c r="I792" s="236"/>
      <c r="J792" s="236"/>
      <c r="K792" s="236"/>
      <c r="L792" s="236"/>
      <c r="M792" s="236"/>
      <c r="N792" s="236"/>
      <c r="O792" s="236"/>
    </row>
    <row r="793" spans="1:15" x14ac:dyDescent="0.25">
      <c r="A793" s="239"/>
      <c r="B793" s="239" t="s">
        <v>1275</v>
      </c>
      <c r="C793" s="247"/>
      <c r="D793" s="247"/>
      <c r="E793" s="247"/>
      <c r="F793" s="247"/>
      <c r="G793" s="247"/>
      <c r="H793" s="247"/>
      <c r="I793" s="247"/>
      <c r="J793" s="247"/>
      <c r="K793" s="247"/>
      <c r="L793" s="247"/>
      <c r="M793" s="247"/>
      <c r="N793" s="247"/>
      <c r="O793" s="247"/>
    </row>
    <row r="794" spans="1:15" x14ac:dyDescent="0.25">
      <c r="A794" s="235"/>
      <c r="B794" s="235"/>
      <c r="C794" s="236"/>
      <c r="D794" s="236"/>
      <c r="E794" s="236"/>
      <c r="F794" s="236"/>
      <c r="G794" s="236"/>
      <c r="H794" s="236"/>
      <c r="I794" s="236"/>
      <c r="J794" s="236"/>
      <c r="K794" s="236"/>
      <c r="L794" s="236"/>
      <c r="M794" s="236"/>
      <c r="N794" s="236"/>
      <c r="O794" s="236"/>
    </row>
    <row r="795" spans="1:15" x14ac:dyDescent="0.25">
      <c r="A795" s="239"/>
      <c r="B795" s="239" t="s">
        <v>1276</v>
      </c>
      <c r="C795" s="247"/>
      <c r="D795" s="247"/>
      <c r="E795" s="247"/>
      <c r="F795" s="247"/>
      <c r="G795" s="247"/>
      <c r="H795" s="247"/>
      <c r="I795" s="247"/>
      <c r="J795" s="247"/>
      <c r="K795" s="247"/>
      <c r="L795" s="247"/>
      <c r="M795" s="247"/>
      <c r="N795" s="247"/>
      <c r="O795" s="247"/>
    </row>
    <row r="796" spans="1:15" x14ac:dyDescent="0.25">
      <c r="A796" s="235"/>
      <c r="B796" s="235"/>
      <c r="C796" s="236"/>
      <c r="D796" s="236"/>
      <c r="E796" s="236"/>
      <c r="F796" s="236"/>
      <c r="G796" s="236"/>
      <c r="H796" s="236"/>
      <c r="I796" s="236"/>
      <c r="J796" s="236"/>
      <c r="K796" s="236"/>
      <c r="L796" s="236"/>
      <c r="M796" s="236"/>
      <c r="N796" s="236"/>
      <c r="O796" s="236"/>
    </row>
    <row r="797" spans="1:15" x14ac:dyDescent="0.25">
      <c r="A797" s="239"/>
      <c r="B797" s="239" t="s">
        <v>1277</v>
      </c>
      <c r="C797" s="247"/>
      <c r="D797" s="247"/>
      <c r="E797" s="247"/>
      <c r="F797" s="247"/>
      <c r="G797" s="247"/>
      <c r="H797" s="247"/>
      <c r="I797" s="247"/>
      <c r="J797" s="247"/>
      <c r="K797" s="247"/>
      <c r="L797" s="247"/>
      <c r="M797" s="247"/>
      <c r="N797" s="247"/>
      <c r="O797" s="247"/>
    </row>
    <row r="798" spans="1:15" x14ac:dyDescent="0.25">
      <c r="A798" s="235"/>
      <c r="B798" s="235"/>
      <c r="C798" s="236"/>
      <c r="D798" s="236"/>
      <c r="E798" s="236"/>
      <c r="F798" s="236"/>
      <c r="G798" s="236"/>
      <c r="H798" s="236"/>
      <c r="I798" s="236"/>
      <c r="J798" s="236"/>
      <c r="K798" s="236"/>
      <c r="L798" s="236"/>
      <c r="M798" s="236"/>
      <c r="N798" s="236"/>
      <c r="O798" s="236"/>
    </row>
    <row r="799" spans="1:15" x14ac:dyDescent="0.25">
      <c r="A799" s="239"/>
      <c r="B799" s="239" t="s">
        <v>1278</v>
      </c>
      <c r="C799" s="247"/>
      <c r="D799" s="247"/>
      <c r="E799" s="247"/>
      <c r="F799" s="247"/>
      <c r="G799" s="247"/>
      <c r="H799" s="247"/>
      <c r="I799" s="247"/>
      <c r="J799" s="247"/>
      <c r="K799" s="247"/>
      <c r="L799" s="247"/>
      <c r="M799" s="247"/>
      <c r="N799" s="247"/>
      <c r="O799" s="247"/>
    </row>
    <row r="800" spans="1:15" x14ac:dyDescent="0.25">
      <c r="A800" s="235"/>
      <c r="B800" s="235"/>
      <c r="C800" s="236"/>
      <c r="D800" s="236"/>
      <c r="E800" s="236"/>
      <c r="F800" s="236"/>
      <c r="G800" s="236"/>
      <c r="H800" s="236"/>
      <c r="I800" s="236"/>
      <c r="J800" s="236"/>
      <c r="K800" s="236"/>
      <c r="L800" s="236"/>
      <c r="M800" s="236"/>
      <c r="N800" s="236"/>
      <c r="O800" s="236"/>
    </row>
    <row r="801" spans="1:15" x14ac:dyDescent="0.25">
      <c r="A801" s="239"/>
      <c r="B801" s="239" t="s">
        <v>1279</v>
      </c>
      <c r="C801" s="247"/>
      <c r="D801" s="247"/>
      <c r="E801" s="247"/>
      <c r="F801" s="247"/>
      <c r="G801" s="247"/>
      <c r="H801" s="247"/>
      <c r="I801" s="247"/>
      <c r="J801" s="247"/>
      <c r="K801" s="247"/>
      <c r="L801" s="247"/>
      <c r="M801" s="247"/>
      <c r="N801" s="247"/>
      <c r="O801" s="247"/>
    </row>
    <row r="802" spans="1:15" x14ac:dyDescent="0.25">
      <c r="A802" s="235"/>
      <c r="B802" s="235"/>
      <c r="C802" s="236"/>
      <c r="D802" s="236"/>
      <c r="E802" s="236"/>
      <c r="F802" s="236"/>
      <c r="G802" s="236"/>
      <c r="H802" s="236"/>
      <c r="I802" s="236"/>
      <c r="J802" s="236"/>
      <c r="K802" s="236"/>
      <c r="L802" s="236"/>
      <c r="M802" s="236"/>
      <c r="N802" s="236"/>
      <c r="O802" s="236"/>
    </row>
    <row r="803" spans="1:15" x14ac:dyDescent="0.25">
      <c r="A803" s="239"/>
      <c r="B803" s="239" t="s">
        <v>1280</v>
      </c>
      <c r="C803" s="247"/>
      <c r="D803" s="247"/>
      <c r="E803" s="247"/>
      <c r="F803" s="247"/>
      <c r="G803" s="247"/>
      <c r="H803" s="247"/>
      <c r="I803" s="247"/>
      <c r="J803" s="247"/>
      <c r="K803" s="247"/>
      <c r="L803" s="247"/>
      <c r="M803" s="247"/>
      <c r="N803" s="247"/>
      <c r="O803" s="247"/>
    </row>
    <row r="804" spans="1:15" x14ac:dyDescent="0.25">
      <c r="A804" s="235"/>
      <c r="B804" s="235"/>
      <c r="C804" s="236"/>
      <c r="D804" s="236"/>
      <c r="E804" s="236"/>
      <c r="F804" s="236"/>
      <c r="G804" s="236"/>
      <c r="H804" s="236"/>
      <c r="I804" s="236"/>
      <c r="J804" s="236"/>
      <c r="K804" s="236"/>
      <c r="L804" s="236"/>
      <c r="M804" s="236"/>
      <c r="N804" s="236"/>
      <c r="O804" s="236"/>
    </row>
    <row r="805" spans="1:15" x14ac:dyDescent="0.25">
      <c r="A805" s="239"/>
      <c r="B805" s="239" t="s">
        <v>1281</v>
      </c>
      <c r="C805" s="247"/>
      <c r="D805" s="247"/>
      <c r="E805" s="247"/>
      <c r="F805" s="247"/>
      <c r="G805" s="247"/>
      <c r="H805" s="247"/>
      <c r="I805" s="247"/>
      <c r="J805" s="247"/>
      <c r="K805" s="247"/>
      <c r="L805" s="247"/>
      <c r="M805" s="247"/>
      <c r="N805" s="247"/>
      <c r="O805" s="247"/>
    </row>
    <row r="806" spans="1:15" x14ac:dyDescent="0.25">
      <c r="A806" s="235"/>
      <c r="B806" s="235"/>
      <c r="C806" s="236"/>
      <c r="D806" s="236"/>
      <c r="E806" s="236"/>
      <c r="F806" s="236"/>
      <c r="G806" s="236"/>
      <c r="H806" s="236"/>
      <c r="I806" s="236"/>
      <c r="J806" s="236"/>
      <c r="K806" s="236"/>
      <c r="L806" s="236"/>
      <c r="M806" s="236"/>
      <c r="N806" s="236"/>
      <c r="O806" s="236"/>
    </row>
    <row r="807" spans="1:15" x14ac:dyDescent="0.25">
      <c r="A807" s="239"/>
      <c r="B807" s="239" t="s">
        <v>1282</v>
      </c>
      <c r="C807" s="247"/>
      <c r="D807" s="247"/>
      <c r="E807" s="247"/>
      <c r="F807" s="247"/>
      <c r="G807" s="247"/>
      <c r="H807" s="247"/>
      <c r="I807" s="247"/>
      <c r="J807" s="247"/>
      <c r="K807" s="247"/>
      <c r="L807" s="247"/>
      <c r="M807" s="247"/>
      <c r="N807" s="247"/>
      <c r="O807" s="247"/>
    </row>
    <row r="808" spans="1:15" x14ac:dyDescent="0.25">
      <c r="A808" s="235"/>
      <c r="B808" s="235"/>
      <c r="C808" s="236"/>
      <c r="D808" s="236"/>
      <c r="E808" s="236"/>
      <c r="F808" s="236"/>
      <c r="G808" s="236"/>
      <c r="H808" s="236"/>
      <c r="I808" s="236"/>
      <c r="J808" s="236"/>
      <c r="K808" s="236"/>
      <c r="L808" s="236"/>
      <c r="M808" s="236"/>
      <c r="N808" s="236"/>
      <c r="O808" s="236"/>
    </row>
    <row r="809" spans="1:15" x14ac:dyDescent="0.25">
      <c r="A809" s="239"/>
      <c r="B809" s="239" t="s">
        <v>1283</v>
      </c>
      <c r="C809" s="247"/>
      <c r="D809" s="247"/>
      <c r="E809" s="247"/>
      <c r="F809" s="247"/>
      <c r="G809" s="247"/>
      <c r="H809" s="247"/>
      <c r="I809" s="247"/>
      <c r="J809" s="247"/>
      <c r="K809" s="247"/>
      <c r="L809" s="247"/>
      <c r="M809" s="247"/>
      <c r="N809" s="247"/>
      <c r="O809" s="247"/>
    </row>
    <row r="810" spans="1:15" x14ac:dyDescent="0.25">
      <c r="A810" s="235"/>
      <c r="B810" s="235"/>
      <c r="C810" s="236"/>
      <c r="D810" s="236"/>
      <c r="E810" s="236"/>
      <c r="F810" s="236"/>
      <c r="G810" s="236"/>
      <c r="H810" s="236"/>
      <c r="I810" s="236"/>
      <c r="J810" s="236"/>
      <c r="K810" s="236"/>
      <c r="L810" s="236"/>
      <c r="M810" s="236"/>
      <c r="N810" s="236"/>
      <c r="O810" s="236"/>
    </row>
    <row r="811" spans="1:15" x14ac:dyDescent="0.25">
      <c r="A811" s="239"/>
      <c r="B811" s="239" t="s">
        <v>1284</v>
      </c>
      <c r="C811" s="247"/>
      <c r="D811" s="247"/>
      <c r="E811" s="247"/>
      <c r="F811" s="247"/>
      <c r="G811" s="247"/>
      <c r="H811" s="247"/>
      <c r="I811" s="247"/>
      <c r="J811" s="247"/>
      <c r="K811" s="247"/>
      <c r="L811" s="247"/>
      <c r="M811" s="247"/>
      <c r="N811" s="247"/>
      <c r="O811" s="247"/>
    </row>
    <row r="812" spans="1:15" x14ac:dyDescent="0.25">
      <c r="A812" s="235"/>
      <c r="B812" s="235"/>
      <c r="C812" s="236"/>
      <c r="D812" s="236"/>
      <c r="E812" s="236"/>
      <c r="F812" s="236"/>
      <c r="G812" s="236"/>
      <c r="H812" s="236"/>
      <c r="I812" s="236"/>
      <c r="J812" s="236"/>
      <c r="K812" s="236"/>
      <c r="L812" s="236"/>
      <c r="M812" s="236"/>
      <c r="N812" s="236"/>
      <c r="O812" s="236"/>
    </row>
    <row r="813" spans="1:15" x14ac:dyDescent="0.25">
      <c r="A813" s="239"/>
      <c r="B813" s="239" t="s">
        <v>1285</v>
      </c>
      <c r="C813" s="247"/>
      <c r="D813" s="247"/>
      <c r="E813" s="247"/>
      <c r="F813" s="247"/>
      <c r="G813" s="247"/>
      <c r="H813" s="247"/>
      <c r="I813" s="247"/>
      <c r="J813" s="247"/>
      <c r="K813" s="247"/>
      <c r="L813" s="247"/>
      <c r="M813" s="247"/>
      <c r="N813" s="247"/>
      <c r="O813" s="247"/>
    </row>
    <row r="814" spans="1:15" x14ac:dyDescent="0.25">
      <c r="A814" s="235"/>
      <c r="B814" s="235"/>
      <c r="C814" s="236"/>
      <c r="D814" s="236"/>
      <c r="E814" s="236"/>
      <c r="F814" s="236"/>
      <c r="G814" s="236"/>
      <c r="H814" s="236"/>
      <c r="I814" s="236"/>
      <c r="J814" s="236"/>
      <c r="K814" s="236"/>
      <c r="L814" s="236"/>
      <c r="M814" s="236"/>
      <c r="N814" s="236"/>
      <c r="O814" s="236"/>
    </row>
    <row r="815" spans="1:15" x14ac:dyDescent="0.25">
      <c r="A815" s="235"/>
      <c r="B815" s="235"/>
      <c r="C815" s="236"/>
      <c r="D815" s="236"/>
      <c r="E815" s="236"/>
      <c r="F815" s="236"/>
      <c r="G815" s="236"/>
      <c r="H815" s="236"/>
      <c r="I815" s="236"/>
      <c r="J815" s="236"/>
      <c r="K815" s="236"/>
      <c r="L815" s="236"/>
      <c r="M815" s="236"/>
      <c r="N815" s="236"/>
      <c r="O815" s="236"/>
    </row>
    <row r="816" spans="1:15" x14ac:dyDescent="0.25">
      <c r="A816" s="239"/>
      <c r="B816" s="239" t="s">
        <v>1286</v>
      </c>
      <c r="C816" s="247"/>
      <c r="D816" s="247"/>
      <c r="E816" s="247"/>
      <c r="F816" s="247"/>
      <c r="G816" s="247"/>
      <c r="H816" s="247"/>
      <c r="I816" s="247"/>
      <c r="J816" s="247"/>
      <c r="K816" s="247"/>
      <c r="L816" s="247"/>
      <c r="M816" s="247"/>
      <c r="N816" s="247"/>
      <c r="O816" s="247"/>
    </row>
    <row r="817" spans="1:15" x14ac:dyDescent="0.25">
      <c r="A817" s="235"/>
      <c r="B817" s="235"/>
      <c r="C817" s="236"/>
      <c r="D817" s="236"/>
      <c r="E817" s="236"/>
      <c r="F817" s="236"/>
      <c r="G817" s="236"/>
      <c r="H817" s="236"/>
      <c r="I817" s="236"/>
      <c r="J817" s="236"/>
      <c r="K817" s="236"/>
      <c r="L817" s="236"/>
      <c r="M817" s="236"/>
      <c r="N817" s="236"/>
      <c r="O817" s="236"/>
    </row>
    <row r="818" spans="1:15" x14ac:dyDescent="0.25">
      <c r="A818" s="239"/>
      <c r="B818" s="239" t="s">
        <v>1287</v>
      </c>
      <c r="C818" s="247"/>
      <c r="D818" s="247"/>
      <c r="E818" s="247"/>
      <c r="F818" s="247"/>
      <c r="G818" s="247"/>
      <c r="H818" s="247"/>
      <c r="I818" s="247"/>
      <c r="J818" s="247"/>
      <c r="K818" s="247"/>
      <c r="L818" s="247"/>
      <c r="M818" s="247"/>
      <c r="N818" s="247"/>
      <c r="O818" s="247"/>
    </row>
    <row r="819" spans="1:15" x14ac:dyDescent="0.25">
      <c r="A819" s="241"/>
      <c r="B819" s="241"/>
      <c r="C819" s="243"/>
      <c r="D819" s="243"/>
      <c r="E819" s="243"/>
      <c r="F819" s="243"/>
      <c r="G819" s="243"/>
      <c r="H819" s="243"/>
      <c r="I819" s="243"/>
      <c r="J819" s="243"/>
      <c r="K819" s="243"/>
      <c r="L819" s="243"/>
      <c r="M819" s="243"/>
      <c r="N819" s="243"/>
      <c r="O819" s="243"/>
    </row>
    <row r="820" spans="1:15" x14ac:dyDescent="0.25">
      <c r="A820" s="239"/>
      <c r="B820" s="239" t="s">
        <v>1288</v>
      </c>
      <c r="C820" s="247"/>
      <c r="D820" s="247"/>
      <c r="E820" s="247"/>
      <c r="F820" s="247"/>
      <c r="G820" s="247"/>
      <c r="H820" s="247"/>
      <c r="I820" s="247"/>
      <c r="J820" s="247"/>
      <c r="K820" s="247"/>
      <c r="L820" s="247"/>
      <c r="M820" s="247"/>
      <c r="N820" s="247"/>
      <c r="O820" s="247"/>
    </row>
    <row r="821" spans="1:15" x14ac:dyDescent="0.25">
      <c r="A821" s="241"/>
      <c r="B821" s="241"/>
      <c r="C821" s="243"/>
      <c r="D821" s="243"/>
      <c r="E821" s="243"/>
      <c r="F821" s="243"/>
      <c r="G821" s="243"/>
      <c r="H821" s="243"/>
      <c r="I821" s="243"/>
      <c r="J821" s="243"/>
      <c r="K821" s="243"/>
      <c r="L821" s="243"/>
      <c r="M821" s="243"/>
      <c r="N821" s="243"/>
      <c r="O821" s="243"/>
    </row>
    <row r="822" spans="1:15" x14ac:dyDescent="0.25">
      <c r="A822" s="239"/>
      <c r="B822" s="239" t="s">
        <v>1381</v>
      </c>
      <c r="C822" s="247"/>
      <c r="D822" s="247"/>
      <c r="E822" s="247"/>
      <c r="F822" s="247"/>
      <c r="G822" s="247"/>
      <c r="H822" s="247"/>
      <c r="I822" s="247"/>
      <c r="J822" s="247"/>
      <c r="K822" s="247"/>
      <c r="L822" s="247"/>
      <c r="M822" s="247"/>
      <c r="N822" s="247"/>
      <c r="O822" s="247"/>
    </row>
    <row r="823" spans="1:15" x14ac:dyDescent="0.25">
      <c r="A823" s="235"/>
      <c r="B823" s="235"/>
      <c r="C823" s="236"/>
      <c r="D823" s="236"/>
      <c r="E823" s="236"/>
      <c r="F823" s="236"/>
      <c r="G823" s="236"/>
      <c r="H823" s="236"/>
      <c r="I823" s="236"/>
      <c r="J823" s="236"/>
      <c r="K823" s="236"/>
      <c r="L823" s="236"/>
      <c r="M823" s="236"/>
      <c r="N823" s="236"/>
      <c r="O823" s="236"/>
    </row>
    <row r="824" spans="1:15" x14ac:dyDescent="0.25">
      <c r="A824" s="235"/>
      <c r="B824" s="235"/>
      <c r="C824" s="236"/>
      <c r="D824" s="236"/>
      <c r="E824" s="236"/>
      <c r="F824" s="236"/>
      <c r="G824" s="236"/>
      <c r="H824" s="236"/>
      <c r="I824" s="236"/>
      <c r="J824" s="236"/>
      <c r="K824" s="236"/>
      <c r="L824" s="236"/>
      <c r="M824" s="236"/>
      <c r="N824" s="236"/>
      <c r="O824" s="236"/>
    </row>
    <row r="825" spans="1:15" ht="15.75" thickBot="1" x14ac:dyDescent="0.3">
      <c r="A825" s="239"/>
      <c r="B825" s="239" t="s">
        <v>1289</v>
      </c>
      <c r="C825" s="249">
        <v>27290861.760000002</v>
      </c>
      <c r="D825" s="249">
        <v>28771167.640000001</v>
      </c>
      <c r="E825" s="249">
        <v>29406639.329999998</v>
      </c>
      <c r="F825" s="249">
        <v>35433688.289999999</v>
      </c>
      <c r="G825" s="249">
        <v>27772272.710000001</v>
      </c>
      <c r="H825" s="249">
        <v>25166006.829999998</v>
      </c>
      <c r="I825" s="249">
        <v>26761659.800000001</v>
      </c>
      <c r="J825" s="249">
        <v>25585572.120000001</v>
      </c>
      <c r="K825" s="249">
        <v>26113802.550000001</v>
      </c>
      <c r="L825" s="249">
        <v>26275977.66</v>
      </c>
      <c r="M825" s="249">
        <v>27201232.75</v>
      </c>
      <c r="N825" s="249">
        <v>27653881.239999998</v>
      </c>
      <c r="O825" s="249">
        <v>333432762.68000001</v>
      </c>
    </row>
    <row r="826" spans="1:15" ht="15.75" thickTop="1" x14ac:dyDescent="0.25">
      <c r="A826" s="235"/>
      <c r="B826" s="235"/>
      <c r="C826" s="248"/>
      <c r="D826" s="248"/>
      <c r="E826" s="248"/>
      <c r="F826" s="248"/>
      <c r="G826" s="248"/>
      <c r="H826" s="248"/>
      <c r="I826" s="248"/>
      <c r="J826" s="248"/>
      <c r="K826" s="248"/>
      <c r="L826" s="248"/>
      <c r="M826" s="248"/>
      <c r="N826" s="248"/>
      <c r="O826" s="248"/>
    </row>
    <row r="827" spans="1:15" ht="15.75" thickBot="1" x14ac:dyDescent="0.3">
      <c r="A827" s="239"/>
      <c r="B827" s="239" t="s">
        <v>12</v>
      </c>
      <c r="C827" s="249">
        <v>5509277.5999999996</v>
      </c>
      <c r="D827" s="249">
        <v>6714751.0800000001</v>
      </c>
      <c r="E827" s="249">
        <v>5991437.6200000001</v>
      </c>
      <c r="F827" s="249">
        <v>5114551.08</v>
      </c>
      <c r="G827" s="249">
        <v>4605573.97</v>
      </c>
      <c r="H827" s="249">
        <v>3845741.9</v>
      </c>
      <c r="I827" s="249">
        <v>7311540.5700000003</v>
      </c>
      <c r="J827" s="249">
        <v>4728433.93</v>
      </c>
      <c r="K827" s="249">
        <v>6045525.2800000003</v>
      </c>
      <c r="L827" s="249">
        <v>4342627</v>
      </c>
      <c r="M827" s="249">
        <v>4837233.97</v>
      </c>
      <c r="N827" s="249">
        <v>5411370.71</v>
      </c>
      <c r="O827" s="249">
        <v>64458064.710000001</v>
      </c>
    </row>
    <row r="828" spans="1:15" ht="15.75" thickTop="1" x14ac:dyDescent="0.25">
      <c r="A828" s="241"/>
      <c r="B828" s="241" t="s">
        <v>1290</v>
      </c>
      <c r="C828" s="252">
        <v>0.16796506684109999</v>
      </c>
      <c r="D828" s="252">
        <v>0.18922297413190001</v>
      </c>
      <c r="E828" s="252">
        <v>0.16925884500630001</v>
      </c>
      <c r="F828" s="252">
        <v>0.1261349730461</v>
      </c>
      <c r="G828" s="252">
        <v>0.14224460371059999</v>
      </c>
      <c r="H828" s="252">
        <v>0.1325580865804</v>
      </c>
      <c r="I828" s="252">
        <v>0.21458332327470001</v>
      </c>
      <c r="J828" s="252">
        <v>0.1559818231283</v>
      </c>
      <c r="K828" s="252">
        <v>0.18798668031740001</v>
      </c>
      <c r="L828" s="252">
        <v>0.1418296832342</v>
      </c>
      <c r="M828" s="252">
        <v>0.15098206828290001</v>
      </c>
      <c r="N828" s="252">
        <v>0.16365732576850001</v>
      </c>
      <c r="O828" s="252">
        <v>1.9424054533223001</v>
      </c>
    </row>
    <row r="829" spans="1:15" x14ac:dyDescent="0.25">
      <c r="A829" s="241"/>
      <c r="B829" s="241"/>
      <c r="C829" s="243"/>
      <c r="D829" s="243"/>
      <c r="E829" s="243"/>
      <c r="F829" s="243"/>
      <c r="G829" s="243"/>
      <c r="H829" s="243"/>
      <c r="I829" s="243"/>
      <c r="J829" s="243"/>
      <c r="K829" s="243"/>
      <c r="L829" s="243"/>
      <c r="M829" s="243"/>
      <c r="N829" s="243"/>
      <c r="O829" s="243"/>
    </row>
    <row r="830" spans="1:15" x14ac:dyDescent="0.25">
      <c r="A830" s="235"/>
      <c r="B830" s="235"/>
      <c r="C830" s="236"/>
      <c r="D830" s="236"/>
      <c r="E830" s="236"/>
      <c r="F830" s="236"/>
      <c r="G830" s="236"/>
      <c r="H830" s="236"/>
      <c r="I830" s="236"/>
      <c r="J830" s="236"/>
      <c r="K830" s="236"/>
      <c r="L830" s="236"/>
      <c r="M830" s="236"/>
      <c r="N830" s="236"/>
      <c r="O830" s="236"/>
    </row>
    <row r="831" spans="1:15" x14ac:dyDescent="0.25">
      <c r="A831" s="239"/>
      <c r="B831" s="239" t="s">
        <v>1291</v>
      </c>
      <c r="C831" s="240"/>
      <c r="D831" s="240"/>
      <c r="E831" s="240"/>
      <c r="F831" s="240"/>
      <c r="G831" s="240"/>
      <c r="H831" s="240"/>
      <c r="I831" s="240"/>
      <c r="J831" s="240"/>
      <c r="K831" s="240"/>
      <c r="L831" s="240"/>
      <c r="M831" s="240"/>
      <c r="N831" s="240"/>
      <c r="O831" s="240"/>
    </row>
    <row r="832" spans="1:15" x14ac:dyDescent="0.25">
      <c r="A832" s="241" t="s">
        <v>1292</v>
      </c>
      <c r="B832" s="241" t="s">
        <v>1293</v>
      </c>
      <c r="C832" s="242">
        <v>1645801.99</v>
      </c>
      <c r="D832" s="242">
        <v>1792038.91</v>
      </c>
      <c r="E832" s="242">
        <v>1787602.87</v>
      </c>
      <c r="F832" s="242">
        <v>-2728034.63</v>
      </c>
      <c r="G832" s="242">
        <v>1636804.25</v>
      </c>
      <c r="H832" s="242">
        <v>1465093.24</v>
      </c>
      <c r="I832" s="242">
        <v>1720696.65</v>
      </c>
      <c r="J832" s="242">
        <v>1530857.27</v>
      </c>
      <c r="K832" s="242">
        <v>1624046.05</v>
      </c>
      <c r="L832" s="242">
        <v>1546239.58</v>
      </c>
      <c r="M832" s="242">
        <v>1617942.61</v>
      </c>
      <c r="N832" s="242">
        <v>1669795.34</v>
      </c>
      <c r="O832" s="242">
        <v>15308884.130000001</v>
      </c>
    </row>
    <row r="833" spans="1:15" x14ac:dyDescent="0.25">
      <c r="A833" s="241" t="s">
        <v>1515</v>
      </c>
      <c r="B833" s="241" t="s">
        <v>1516</v>
      </c>
      <c r="C833" s="246"/>
      <c r="D833" s="246"/>
      <c r="E833" s="246"/>
      <c r="F833" s="244">
        <v>4761681.18</v>
      </c>
      <c r="G833" s="246"/>
      <c r="H833" s="246"/>
      <c r="I833" s="246"/>
      <c r="J833" s="246"/>
      <c r="K833" s="246"/>
      <c r="L833" s="246"/>
      <c r="M833" s="246"/>
      <c r="N833" s="246"/>
      <c r="O833" s="244">
        <v>4761681.18</v>
      </c>
    </row>
    <row r="834" spans="1:15" x14ac:dyDescent="0.25">
      <c r="A834" s="239"/>
      <c r="B834" s="239" t="s">
        <v>1294</v>
      </c>
      <c r="C834" s="245">
        <v>1645801.99</v>
      </c>
      <c r="D834" s="245">
        <v>1792038.91</v>
      </c>
      <c r="E834" s="245">
        <v>1787602.87</v>
      </c>
      <c r="F834" s="245">
        <v>2033646.55</v>
      </c>
      <c r="G834" s="245">
        <v>1636804.25</v>
      </c>
      <c r="H834" s="245">
        <v>1465093.24</v>
      </c>
      <c r="I834" s="245">
        <v>1720696.65</v>
      </c>
      <c r="J834" s="245">
        <v>1530857.27</v>
      </c>
      <c r="K834" s="245">
        <v>1624046.05</v>
      </c>
      <c r="L834" s="245">
        <v>1546239.58</v>
      </c>
      <c r="M834" s="245">
        <v>1617942.61</v>
      </c>
      <c r="N834" s="245">
        <v>1669795.34</v>
      </c>
      <c r="O834" s="245">
        <v>20070565.309999999</v>
      </c>
    </row>
    <row r="835" spans="1:15" x14ac:dyDescent="0.25">
      <c r="A835" s="235"/>
      <c r="B835" s="235"/>
      <c r="C835" s="248"/>
      <c r="D835" s="248"/>
      <c r="E835" s="248"/>
      <c r="F835" s="248"/>
      <c r="G835" s="248"/>
      <c r="H835" s="248"/>
      <c r="I835" s="248"/>
      <c r="J835" s="248"/>
      <c r="K835" s="248"/>
      <c r="L835" s="248"/>
      <c r="M835" s="248"/>
      <c r="N835" s="248"/>
      <c r="O835" s="248"/>
    </row>
    <row r="836" spans="1:15" ht="15.75" thickBot="1" x14ac:dyDescent="0.3">
      <c r="A836" s="239"/>
      <c r="B836" s="239" t="s">
        <v>11</v>
      </c>
      <c r="C836" s="249">
        <v>3863475.61</v>
      </c>
      <c r="D836" s="249">
        <v>4922712.17</v>
      </c>
      <c r="E836" s="249">
        <v>4203834.75</v>
      </c>
      <c r="F836" s="249">
        <v>3080904.53</v>
      </c>
      <c r="G836" s="249">
        <v>2968769.72</v>
      </c>
      <c r="H836" s="249">
        <v>2380648.66</v>
      </c>
      <c r="I836" s="249">
        <v>5590843.9199999999</v>
      </c>
      <c r="J836" s="249">
        <v>3197576.66</v>
      </c>
      <c r="K836" s="249">
        <v>4421479.2300000004</v>
      </c>
      <c r="L836" s="249">
        <v>2796387.42</v>
      </c>
      <c r="M836" s="249">
        <v>3219291.36</v>
      </c>
      <c r="N836" s="249">
        <v>3741575.37</v>
      </c>
      <c r="O836" s="249">
        <v>44387499.399999999</v>
      </c>
    </row>
    <row r="837" spans="1:15" ht="15.75" thickTop="1" x14ac:dyDescent="0.25">
      <c r="A837" s="241"/>
      <c r="B837" s="241" t="s">
        <v>1295</v>
      </c>
      <c r="C837" s="252">
        <v>0.1177883900918</v>
      </c>
      <c r="D837" s="252">
        <v>0.13872297371930001</v>
      </c>
      <c r="E837" s="252">
        <v>0.1187588454576</v>
      </c>
      <c r="F837" s="252">
        <v>7.5981215901599994E-2</v>
      </c>
      <c r="G837" s="252">
        <v>9.1691388539200003E-2</v>
      </c>
      <c r="H837" s="252">
        <v>8.2058089023000005E-2</v>
      </c>
      <c r="I837" s="252">
        <v>0.1640833223557</v>
      </c>
      <c r="J837" s="252">
        <v>0.10548182430020001</v>
      </c>
      <c r="K837" s="252">
        <v>0.13748668048580001</v>
      </c>
      <c r="L837" s="252">
        <v>9.1329681775300001E-2</v>
      </c>
      <c r="M837" s="252">
        <v>0.10048206701450001</v>
      </c>
      <c r="N837" s="252">
        <v>0.1131573222444</v>
      </c>
      <c r="O837" s="252">
        <v>1.3370218009082</v>
      </c>
    </row>
    <row r="838" spans="1:15" x14ac:dyDescent="0.25">
      <c r="A838" s="235"/>
      <c r="B838" s="235"/>
      <c r="C838" s="236"/>
      <c r="D838" s="236"/>
      <c r="E838" s="236"/>
      <c r="F838" s="236"/>
      <c r="G838" s="236"/>
      <c r="H838" s="236"/>
      <c r="I838" s="236"/>
      <c r="J838" s="236"/>
      <c r="K838" s="236"/>
      <c r="L838" s="236"/>
      <c r="M838" s="236"/>
      <c r="N838" s="236"/>
      <c r="O838" s="236"/>
    </row>
    <row r="839" spans="1:15" x14ac:dyDescent="0.25">
      <c r="A839" s="235"/>
      <c r="B839" s="235"/>
      <c r="C839" s="236"/>
      <c r="D839" s="236"/>
      <c r="E839" s="236"/>
      <c r="F839" s="236"/>
      <c r="G839" s="236"/>
      <c r="H839" s="236"/>
      <c r="I839" s="236"/>
      <c r="J839" s="236"/>
      <c r="K839" s="236"/>
      <c r="L839" s="236"/>
      <c r="M839" s="236"/>
      <c r="N839" s="236"/>
      <c r="O839" s="236"/>
    </row>
    <row r="840" spans="1:15" x14ac:dyDescent="0.25">
      <c r="A840" s="241" t="s">
        <v>1296</v>
      </c>
      <c r="B840" s="241" t="s">
        <v>1297</v>
      </c>
      <c r="C840" s="242">
        <v>2992677.57</v>
      </c>
      <c r="D840" s="242">
        <v>2992677.57</v>
      </c>
      <c r="E840" s="242">
        <v>2992677.57</v>
      </c>
      <c r="F840" s="242">
        <v>3009421.64</v>
      </c>
      <c r="G840" s="242">
        <v>3009421.64</v>
      </c>
      <c r="H840" s="242">
        <v>3009421.64</v>
      </c>
      <c r="I840" s="242">
        <v>3009421.64</v>
      </c>
      <c r="J840" s="242">
        <v>3009421.64</v>
      </c>
      <c r="K840" s="242">
        <v>3009421.64</v>
      </c>
      <c r="L840" s="242">
        <v>3009421.64</v>
      </c>
      <c r="M840" s="242">
        <v>3009421.64</v>
      </c>
      <c r="N840" s="242">
        <v>3009421.64</v>
      </c>
      <c r="O840" s="242">
        <v>36062827.469999999</v>
      </c>
    </row>
    <row r="841" spans="1:15" x14ac:dyDescent="0.25">
      <c r="A841" s="235"/>
      <c r="B841" s="235"/>
      <c r="C841" s="248"/>
      <c r="D841" s="248"/>
      <c r="E841" s="248"/>
      <c r="F841" s="248"/>
      <c r="G841" s="248"/>
      <c r="H841" s="248"/>
      <c r="I841" s="248"/>
      <c r="J841" s="248"/>
      <c r="K841" s="248"/>
      <c r="L841" s="248"/>
      <c r="M841" s="248"/>
      <c r="N841" s="248"/>
      <c r="O841" s="248"/>
    </row>
    <row r="842" spans="1:15" ht="15.75" thickBot="1" x14ac:dyDescent="0.3">
      <c r="A842" s="239"/>
      <c r="B842" s="239" t="s">
        <v>179</v>
      </c>
      <c r="C842" s="249">
        <v>870798.04</v>
      </c>
      <c r="D842" s="249">
        <v>1930034.6</v>
      </c>
      <c r="E842" s="249">
        <v>1211157.18</v>
      </c>
      <c r="F842" s="249">
        <v>71482.89</v>
      </c>
      <c r="G842" s="249">
        <v>-40651.919999999998</v>
      </c>
      <c r="H842" s="249">
        <v>-628772.98</v>
      </c>
      <c r="I842" s="249">
        <v>2581422.2799999998</v>
      </c>
      <c r="J842" s="249">
        <v>188155.02</v>
      </c>
      <c r="K842" s="249">
        <v>1412057.59</v>
      </c>
      <c r="L842" s="249">
        <v>-213034.22</v>
      </c>
      <c r="M842" s="249">
        <v>209869.72</v>
      </c>
      <c r="N842" s="249">
        <v>732153.73</v>
      </c>
      <c r="O842" s="249">
        <v>8324671.9299999997</v>
      </c>
    </row>
    <row r="843" spans="1:15" ht="15.75" thickTop="1" x14ac:dyDescent="0.25">
      <c r="A843" s="241"/>
      <c r="B843" s="241" t="s">
        <v>1298</v>
      </c>
      <c r="C843" s="252">
        <v>2.6548607932499999E-2</v>
      </c>
      <c r="D843" s="252">
        <v>5.4388745440899999E-2</v>
      </c>
      <c r="E843" s="252">
        <v>3.4215338356100002E-2</v>
      </c>
      <c r="F843" s="252">
        <v>1.7629098356E-3</v>
      </c>
      <c r="G843" s="252">
        <v>-1.2555473624000001E-3</v>
      </c>
      <c r="H843" s="252">
        <v>-2.16730465251E-2</v>
      </c>
      <c r="I843" s="252">
        <v>7.5761074743999998E-2</v>
      </c>
      <c r="J843" s="252">
        <v>6.2068675347999999E-3</v>
      </c>
      <c r="K843" s="252">
        <v>4.3908181087099998E-2</v>
      </c>
      <c r="L843" s="252">
        <v>-6.9576723813999999E-3</v>
      </c>
      <c r="M843" s="252">
        <v>6.5505544268E-3</v>
      </c>
      <c r="N843" s="252">
        <v>2.2142693214799999E-2</v>
      </c>
      <c r="O843" s="252">
        <v>0.24159870630370001</v>
      </c>
    </row>
    <row r="844" spans="1:15" x14ac:dyDescent="0.25">
      <c r="A844" s="241"/>
      <c r="B844" s="241"/>
      <c r="C844" s="243"/>
      <c r="D844" s="243"/>
      <c r="E844" s="243"/>
      <c r="F844" s="243"/>
      <c r="G844" s="243"/>
      <c r="H844" s="243"/>
      <c r="I844" s="243"/>
      <c r="J844" s="243"/>
      <c r="K844" s="243"/>
      <c r="L844" s="243"/>
      <c r="M844" s="243"/>
      <c r="N844" s="243"/>
      <c r="O844" s="243"/>
    </row>
    <row r="845" spans="1:15" x14ac:dyDescent="0.25">
      <c r="A845" s="235"/>
      <c r="B845" s="235"/>
      <c r="C845" s="236"/>
      <c r="D845" s="236"/>
      <c r="E845" s="236"/>
      <c r="F845" s="236"/>
      <c r="G845" s="236"/>
      <c r="H845" s="236"/>
      <c r="I845" s="236"/>
      <c r="J845" s="236"/>
      <c r="K845" s="236"/>
      <c r="L845" s="236"/>
      <c r="M845" s="236"/>
      <c r="N845" s="236"/>
      <c r="O845" s="236"/>
    </row>
    <row r="846" spans="1:15" x14ac:dyDescent="0.25">
      <c r="A846" s="239"/>
      <c r="B846" s="239" t="s">
        <v>1299</v>
      </c>
      <c r="C846" s="240"/>
      <c r="D846" s="240"/>
      <c r="E846" s="240"/>
      <c r="F846" s="240"/>
      <c r="G846" s="240"/>
      <c r="H846" s="240"/>
      <c r="I846" s="240"/>
      <c r="J846" s="240"/>
      <c r="K846" s="240"/>
      <c r="L846" s="240"/>
      <c r="M846" s="240"/>
      <c r="N846" s="240"/>
      <c r="O846" s="240"/>
    </row>
    <row r="847" spans="1:15" x14ac:dyDescent="0.25">
      <c r="A847" s="241" t="s">
        <v>1300</v>
      </c>
      <c r="B847" s="241" t="s">
        <v>1301</v>
      </c>
      <c r="C847" s="242">
        <v>256222.18</v>
      </c>
      <c r="D847" s="242">
        <v>256222.18</v>
      </c>
      <c r="E847" s="242">
        <v>256222.18</v>
      </c>
      <c r="F847" s="242">
        <v>117827.8</v>
      </c>
      <c r="G847" s="242">
        <v>120643.45</v>
      </c>
      <c r="H847" s="242">
        <v>120643.45</v>
      </c>
      <c r="I847" s="242">
        <v>120643.45</v>
      </c>
      <c r="J847" s="242">
        <v>120045.84</v>
      </c>
      <c r="K847" s="242">
        <v>119953.05</v>
      </c>
      <c r="L847" s="242">
        <v>119953.05</v>
      </c>
      <c r="M847" s="242">
        <v>119953.05</v>
      </c>
      <c r="N847" s="242">
        <v>119953.05</v>
      </c>
      <c r="O847" s="242">
        <v>1848282.73</v>
      </c>
    </row>
    <row r="848" spans="1:15" x14ac:dyDescent="0.25">
      <c r="A848" s="241" t="s">
        <v>1302</v>
      </c>
      <c r="B848" s="241" t="s">
        <v>1303</v>
      </c>
      <c r="C848" s="242">
        <v>1313281.26</v>
      </c>
      <c r="D848" s="242">
        <v>1313281.26</v>
      </c>
      <c r="E848" s="242">
        <v>1313281.26</v>
      </c>
      <c r="F848" s="242">
        <v>1346113.28</v>
      </c>
      <c r="G848" s="242">
        <v>1346113.28</v>
      </c>
      <c r="H848" s="242">
        <v>1346113.28</v>
      </c>
      <c r="I848" s="242">
        <v>1346113.28</v>
      </c>
      <c r="J848" s="242">
        <v>1346113.28</v>
      </c>
      <c r="K848" s="242">
        <v>1346113.28</v>
      </c>
      <c r="L848" s="242">
        <v>1346113.28</v>
      </c>
      <c r="M848" s="242">
        <v>1346113.28</v>
      </c>
      <c r="N848" s="242">
        <v>1346113.28</v>
      </c>
      <c r="O848" s="242">
        <v>16054863.300000001</v>
      </c>
    </row>
    <row r="849" spans="1:15" x14ac:dyDescent="0.25">
      <c r="A849" s="241" t="s">
        <v>1369</v>
      </c>
      <c r="B849" s="241" t="s">
        <v>1370</v>
      </c>
      <c r="C849" s="243"/>
      <c r="D849" s="242">
        <v>2678.76</v>
      </c>
      <c r="E849" s="242">
        <v>8291.2099999999991</v>
      </c>
      <c r="F849" s="242">
        <v>2680.09</v>
      </c>
      <c r="G849" s="242">
        <v>1402.82</v>
      </c>
      <c r="H849" s="242">
        <v>11070.3</v>
      </c>
      <c r="I849" s="242">
        <v>10075.86</v>
      </c>
      <c r="J849" s="242">
        <v>331.11</v>
      </c>
      <c r="K849" s="242">
        <v>-4.18</v>
      </c>
      <c r="L849" s="242">
        <v>-338.84</v>
      </c>
      <c r="M849" s="243"/>
      <c r="N849" s="242">
        <v>-19912.54</v>
      </c>
      <c r="O849" s="242">
        <v>16274.59</v>
      </c>
    </row>
    <row r="850" spans="1:15" x14ac:dyDescent="0.25">
      <c r="A850" s="241" t="s">
        <v>1304</v>
      </c>
      <c r="B850" s="241" t="s">
        <v>1305</v>
      </c>
      <c r="C850" s="242">
        <v>11681.74</v>
      </c>
      <c r="D850" s="242">
        <v>32547.57</v>
      </c>
      <c r="E850" s="242">
        <v>21184.2</v>
      </c>
      <c r="F850" s="242">
        <v>21023.41</v>
      </c>
      <c r="G850" s="242">
        <v>21533.34</v>
      </c>
      <c r="H850" s="242">
        <v>39490.47</v>
      </c>
      <c r="I850" s="242">
        <v>9648.25</v>
      </c>
      <c r="J850" s="242">
        <v>20642.52</v>
      </c>
      <c r="K850" s="242">
        <v>22994.33</v>
      </c>
      <c r="L850" s="242">
        <v>34438.300000000003</v>
      </c>
      <c r="M850" s="242">
        <v>56419.5</v>
      </c>
      <c r="N850" s="242">
        <v>40431.94</v>
      </c>
      <c r="O850" s="242">
        <v>332035.57</v>
      </c>
    </row>
    <row r="851" spans="1:15" x14ac:dyDescent="0.25">
      <c r="A851" s="241" t="s">
        <v>1306</v>
      </c>
      <c r="B851" s="241" t="s">
        <v>1307</v>
      </c>
      <c r="C851" s="242">
        <v>68829.17</v>
      </c>
      <c r="D851" s="242">
        <v>72333.33</v>
      </c>
      <c r="E851" s="242">
        <v>70000</v>
      </c>
      <c r="F851" s="242">
        <v>71653.399999999994</v>
      </c>
      <c r="G851" s="242">
        <v>72317.06</v>
      </c>
      <c r="H851" s="242">
        <v>65318.63</v>
      </c>
      <c r="I851" s="242">
        <v>72317.06</v>
      </c>
      <c r="J851" s="242">
        <v>69984.25</v>
      </c>
      <c r="K851" s="242">
        <v>72317.06</v>
      </c>
      <c r="L851" s="242">
        <v>70000</v>
      </c>
      <c r="M851" s="242">
        <v>72333.33</v>
      </c>
      <c r="N851" s="242">
        <v>72333.33</v>
      </c>
      <c r="O851" s="242">
        <v>849736.62</v>
      </c>
    </row>
    <row r="852" spans="1:15" x14ac:dyDescent="0.25">
      <c r="A852" s="241" t="s">
        <v>1308</v>
      </c>
      <c r="B852" s="241" t="s">
        <v>1309</v>
      </c>
      <c r="C852" s="242">
        <v>-822.53</v>
      </c>
      <c r="D852" s="242">
        <v>-1879.63</v>
      </c>
      <c r="E852" s="242">
        <v>-1638.86</v>
      </c>
      <c r="F852" s="242">
        <v>-1685.29</v>
      </c>
      <c r="G852" s="242">
        <v>-1129.05</v>
      </c>
      <c r="H852" s="242">
        <v>-764.54</v>
      </c>
      <c r="I852" s="242">
        <v>-3165.85</v>
      </c>
      <c r="J852" s="242">
        <v>-1134.42</v>
      </c>
      <c r="K852" s="242">
        <v>-697.44</v>
      </c>
      <c r="L852" s="242">
        <v>-2252.54</v>
      </c>
      <c r="M852" s="242">
        <v>-2307.5100000000002</v>
      </c>
      <c r="N852" s="242">
        <v>-5965.85</v>
      </c>
      <c r="O852" s="242">
        <v>-23443.51</v>
      </c>
    </row>
    <row r="853" spans="1:15" x14ac:dyDescent="0.25">
      <c r="A853" s="241" t="s">
        <v>1310</v>
      </c>
      <c r="B853" s="241" t="s">
        <v>1311</v>
      </c>
      <c r="C853" s="244">
        <v>324403.76</v>
      </c>
      <c r="D853" s="244">
        <v>324117.3</v>
      </c>
      <c r="E853" s="244">
        <v>418361.62</v>
      </c>
      <c r="F853" s="244">
        <v>324941.28000000003</v>
      </c>
      <c r="G853" s="244">
        <v>326254.39</v>
      </c>
      <c r="H853" s="244">
        <v>327022.32</v>
      </c>
      <c r="I853" s="244">
        <v>328772.57</v>
      </c>
      <c r="J853" s="244">
        <v>353102.25</v>
      </c>
      <c r="K853" s="244">
        <v>355267.75</v>
      </c>
      <c r="L853" s="244">
        <v>362013.97</v>
      </c>
      <c r="M853" s="244">
        <v>361985.89</v>
      </c>
      <c r="N853" s="244">
        <v>395518.97</v>
      </c>
      <c r="O853" s="244">
        <v>4201762.07</v>
      </c>
    </row>
    <row r="854" spans="1:15" x14ac:dyDescent="0.25">
      <c r="A854" s="239"/>
      <c r="B854" s="239" t="s">
        <v>1312</v>
      </c>
      <c r="C854" s="245">
        <v>1973595.58</v>
      </c>
      <c r="D854" s="245">
        <v>1999300.77</v>
      </c>
      <c r="E854" s="245">
        <v>2085701.61</v>
      </c>
      <c r="F854" s="245">
        <v>1882553.97</v>
      </c>
      <c r="G854" s="245">
        <v>1887135.29</v>
      </c>
      <c r="H854" s="245">
        <v>1908893.91</v>
      </c>
      <c r="I854" s="245">
        <v>1884404.62</v>
      </c>
      <c r="J854" s="245">
        <v>1909084.83</v>
      </c>
      <c r="K854" s="245">
        <v>1915943.85</v>
      </c>
      <c r="L854" s="245">
        <v>1929927.22</v>
      </c>
      <c r="M854" s="245">
        <v>1954497.54</v>
      </c>
      <c r="N854" s="245">
        <v>1948472.18</v>
      </c>
      <c r="O854" s="245">
        <v>23279511.370000001</v>
      </c>
    </row>
    <row r="855" spans="1:15" x14ac:dyDescent="0.25">
      <c r="A855" s="235"/>
      <c r="B855" s="235"/>
      <c r="C855" s="236"/>
      <c r="D855" s="236"/>
      <c r="E855" s="236"/>
      <c r="F855" s="236"/>
      <c r="G855" s="236"/>
      <c r="H855" s="236"/>
      <c r="I855" s="236"/>
      <c r="J855" s="236"/>
      <c r="K855" s="236"/>
      <c r="L855" s="236"/>
      <c r="M855" s="236"/>
      <c r="N855" s="236"/>
      <c r="O855" s="236"/>
    </row>
    <row r="856" spans="1:15" x14ac:dyDescent="0.25">
      <c r="A856" s="241" t="s">
        <v>1313</v>
      </c>
      <c r="B856" s="241" t="s">
        <v>1314</v>
      </c>
      <c r="C856" s="242">
        <v>8885.34</v>
      </c>
      <c r="D856" s="242">
        <v>38588.49</v>
      </c>
      <c r="E856" s="242">
        <v>37679.26</v>
      </c>
      <c r="F856" s="243"/>
      <c r="G856" s="242">
        <v>49909.01</v>
      </c>
      <c r="H856" s="242">
        <v>31467.83</v>
      </c>
      <c r="I856" s="242">
        <v>34594.17</v>
      </c>
      <c r="J856" s="242">
        <v>71691.539999999994</v>
      </c>
      <c r="K856" s="242">
        <v>701.03</v>
      </c>
      <c r="L856" s="242">
        <v>35612.879999999997</v>
      </c>
      <c r="M856" s="242">
        <v>36383.199999999997</v>
      </c>
      <c r="N856" s="242">
        <v>37133.879999999997</v>
      </c>
      <c r="O856" s="242">
        <v>382646.63</v>
      </c>
    </row>
    <row r="857" spans="1:15" x14ac:dyDescent="0.25">
      <c r="A857" s="239"/>
      <c r="B857" s="239"/>
      <c r="C857" s="247"/>
      <c r="D857" s="247"/>
      <c r="E857" s="247"/>
      <c r="F857" s="247"/>
      <c r="G857" s="247"/>
      <c r="H857" s="247"/>
      <c r="I857" s="247"/>
      <c r="J857" s="247"/>
      <c r="K857" s="247"/>
      <c r="L857" s="247"/>
      <c r="M857" s="247"/>
      <c r="N857" s="247"/>
      <c r="O857" s="247"/>
    </row>
    <row r="858" spans="1:15" ht="15.75" thickBot="1" x14ac:dyDescent="0.3">
      <c r="A858" s="239"/>
      <c r="B858" s="239" t="s">
        <v>1315</v>
      </c>
      <c r="C858" s="249">
        <v>-1111682.8799999999</v>
      </c>
      <c r="D858" s="249">
        <v>-107854.66</v>
      </c>
      <c r="E858" s="249">
        <v>-912223.69</v>
      </c>
      <c r="F858" s="249">
        <v>-1811071.08</v>
      </c>
      <c r="G858" s="249">
        <v>-1977696.22</v>
      </c>
      <c r="H858" s="249">
        <v>-2569134.7200000002</v>
      </c>
      <c r="I858" s="249">
        <v>662423.49</v>
      </c>
      <c r="J858" s="249">
        <v>-1792621.35</v>
      </c>
      <c r="K858" s="249">
        <v>-504587.29</v>
      </c>
      <c r="L858" s="249">
        <v>-2178574.3199999998</v>
      </c>
      <c r="M858" s="249">
        <v>-1781011.02</v>
      </c>
      <c r="N858" s="249">
        <v>-1253452.33</v>
      </c>
      <c r="O858" s="249">
        <v>-15337486.07</v>
      </c>
    </row>
    <row r="859" spans="1:15" ht="15.75" thickTop="1" x14ac:dyDescent="0.25">
      <c r="A859" s="235"/>
      <c r="B859" s="235"/>
      <c r="C859" s="236"/>
      <c r="D859" s="236"/>
      <c r="E859" s="236"/>
      <c r="F859" s="236"/>
      <c r="G859" s="236"/>
      <c r="H859" s="236"/>
      <c r="I859" s="236"/>
      <c r="J859" s="236"/>
      <c r="K859" s="236"/>
      <c r="L859" s="236"/>
      <c r="M859" s="236"/>
      <c r="N859" s="236"/>
      <c r="O859" s="236"/>
    </row>
    <row r="860" spans="1:15" x14ac:dyDescent="0.25">
      <c r="A860" s="241"/>
      <c r="B860" s="241" t="s">
        <v>1316</v>
      </c>
      <c r="C860" s="244">
        <v>-1103992.45</v>
      </c>
      <c r="D860" s="244">
        <v>-101469.16</v>
      </c>
      <c r="E860" s="244">
        <v>-880031.78</v>
      </c>
      <c r="F860" s="244">
        <v>-1797362.65</v>
      </c>
      <c r="G860" s="244">
        <v>-1976109.5</v>
      </c>
      <c r="H860" s="244">
        <v>-2565522.37</v>
      </c>
      <c r="I860" s="244">
        <v>752886.8</v>
      </c>
      <c r="J860" s="244">
        <v>-1789130.34</v>
      </c>
      <c r="K860" s="244">
        <v>-504064.08</v>
      </c>
      <c r="L860" s="244">
        <v>-2107699.5699999998</v>
      </c>
      <c r="M860" s="244">
        <v>-1771793.52</v>
      </c>
      <c r="N860" s="244">
        <v>-1252447.04</v>
      </c>
      <c r="O860" s="244">
        <v>-15096735.66</v>
      </c>
    </row>
    <row r="861" spans="1:15" x14ac:dyDescent="0.25">
      <c r="A861" s="235"/>
      <c r="B861" s="235"/>
      <c r="C861" s="236"/>
      <c r="D861" s="236"/>
      <c r="E861" s="236"/>
      <c r="F861" s="236"/>
      <c r="G861" s="236"/>
      <c r="H861" s="236"/>
      <c r="I861" s="236"/>
      <c r="J861" s="236"/>
      <c r="K861" s="236"/>
      <c r="L861" s="236"/>
      <c r="M861" s="236"/>
      <c r="N861" s="236"/>
      <c r="O861" s="236"/>
    </row>
    <row r="862" spans="1:15" x14ac:dyDescent="0.25">
      <c r="A862" s="239"/>
      <c r="B862" s="239" t="s">
        <v>1317</v>
      </c>
      <c r="C862" s="253">
        <v>-3.3892626729400001E-2</v>
      </c>
      <c r="D862" s="253">
        <v>-3.0393650183E-3</v>
      </c>
      <c r="E862" s="253">
        <v>-2.5770430729599999E-2</v>
      </c>
      <c r="F862" s="253">
        <v>-4.4664604632399997E-2</v>
      </c>
      <c r="G862" s="253">
        <v>-6.10817711118E-2</v>
      </c>
      <c r="H862" s="253">
        <v>-8.8554976258400003E-2</v>
      </c>
      <c r="I862" s="253">
        <v>1.9441187878100001E-2</v>
      </c>
      <c r="J862" s="253">
        <v>-5.9135085842600001E-2</v>
      </c>
      <c r="K862" s="253">
        <v>-1.5690231234500002E-2</v>
      </c>
      <c r="L862" s="253">
        <v>-7.1151979137900001E-2</v>
      </c>
      <c r="M862" s="253">
        <v>-5.5589770745400002E-2</v>
      </c>
      <c r="N862" s="253">
        <v>-3.7908446362199998E-2</v>
      </c>
      <c r="O862" s="253">
        <v>-0.47703809992450003</v>
      </c>
    </row>
    <row r="863" spans="1:15" x14ac:dyDescent="0.25">
      <c r="A863" s="235"/>
      <c r="B863" s="235"/>
      <c r="C863" s="236"/>
      <c r="D863" s="236"/>
      <c r="E863" s="236"/>
      <c r="F863" s="236"/>
      <c r="G863" s="236"/>
      <c r="H863" s="236"/>
      <c r="I863" s="236"/>
      <c r="J863" s="236"/>
      <c r="K863" s="236"/>
      <c r="L863" s="236"/>
      <c r="M863" s="236"/>
      <c r="N863" s="236"/>
      <c r="O863" s="236"/>
    </row>
    <row r="864" spans="1:15" x14ac:dyDescent="0.25">
      <c r="A864" s="235"/>
      <c r="B864" s="235"/>
      <c r="C864" s="236"/>
      <c r="D864" s="236"/>
      <c r="E864" s="236"/>
      <c r="F864" s="236"/>
      <c r="G864" s="236"/>
      <c r="H864" s="236"/>
      <c r="I864" s="236"/>
      <c r="J864" s="236"/>
      <c r="K864" s="236"/>
      <c r="L864" s="236"/>
      <c r="M864" s="236"/>
      <c r="N864" s="236"/>
      <c r="O864" s="236"/>
    </row>
    <row r="865" spans="1:15" x14ac:dyDescent="0.25">
      <c r="A865" s="239"/>
      <c r="B865" s="239" t="s">
        <v>1318</v>
      </c>
      <c r="C865" s="240"/>
      <c r="D865" s="240"/>
      <c r="E865" s="240"/>
      <c r="F865" s="240"/>
      <c r="G865" s="240"/>
      <c r="H865" s="240"/>
      <c r="I865" s="240"/>
      <c r="J865" s="240"/>
      <c r="K865" s="240"/>
      <c r="L865" s="240"/>
      <c r="M865" s="240"/>
      <c r="N865" s="240"/>
      <c r="O865" s="240"/>
    </row>
    <row r="866" spans="1:15" x14ac:dyDescent="0.25">
      <c r="A866" s="241" t="s">
        <v>1319</v>
      </c>
      <c r="B866" s="241" t="s">
        <v>1318</v>
      </c>
      <c r="C866" s="242">
        <v>9468082.4399999995</v>
      </c>
      <c r="D866" s="242">
        <v>9459905.9600000009</v>
      </c>
      <c r="E866" s="242">
        <v>8469188.1500000004</v>
      </c>
      <c r="F866" s="242">
        <v>8736881.0899999999</v>
      </c>
      <c r="G866" s="242">
        <v>9396677.2799999993</v>
      </c>
      <c r="H866" s="242">
        <v>8900089.0899999999</v>
      </c>
      <c r="I866" s="242">
        <v>9743906.5999999996</v>
      </c>
      <c r="J866" s="242">
        <v>9452125.3900000006</v>
      </c>
      <c r="K866" s="242">
        <v>9677475.5700000003</v>
      </c>
      <c r="L866" s="242">
        <v>8800852.6799999997</v>
      </c>
      <c r="M866" s="242">
        <v>8909975.0600000005</v>
      </c>
      <c r="N866" s="242">
        <v>8661135.5800000001</v>
      </c>
      <c r="O866" s="242">
        <v>109676294.89</v>
      </c>
    </row>
    <row r="867" spans="1:15" x14ac:dyDescent="0.25">
      <c r="A867" s="241" t="s">
        <v>1320</v>
      </c>
      <c r="B867" s="241" t="s">
        <v>1321</v>
      </c>
      <c r="C867" s="242">
        <v>244824.17</v>
      </c>
      <c r="D867" s="242">
        <v>305318.65999999997</v>
      </c>
      <c r="E867" s="242">
        <v>284103.69</v>
      </c>
      <c r="F867" s="242">
        <v>419682.62</v>
      </c>
      <c r="G867" s="242">
        <v>194606.46</v>
      </c>
      <c r="H867" s="242">
        <v>187300.98</v>
      </c>
      <c r="I867" s="242">
        <v>441628.2</v>
      </c>
      <c r="J867" s="242">
        <v>268226.99</v>
      </c>
      <c r="K867" s="242">
        <v>221602.68</v>
      </c>
      <c r="L867" s="242">
        <v>259318.32</v>
      </c>
      <c r="M867" s="242">
        <v>373450.18</v>
      </c>
      <c r="N867" s="242">
        <v>382101.95</v>
      </c>
      <c r="O867" s="242">
        <v>3582164.9</v>
      </c>
    </row>
    <row r="868" spans="1:15" x14ac:dyDescent="0.25">
      <c r="A868" s="241" t="s">
        <v>1322</v>
      </c>
      <c r="B868" s="241" t="s">
        <v>1323</v>
      </c>
      <c r="C868" s="242">
        <v>127.65</v>
      </c>
      <c r="D868" s="243"/>
      <c r="E868" s="243"/>
      <c r="F868" s="242">
        <v>81.16</v>
      </c>
      <c r="G868" s="242">
        <v>469.06</v>
      </c>
      <c r="H868" s="242">
        <v>6115.43</v>
      </c>
      <c r="I868" s="242">
        <v>8790.86</v>
      </c>
      <c r="J868" s="242">
        <v>9162.16</v>
      </c>
      <c r="K868" s="242">
        <v>4270.75</v>
      </c>
      <c r="L868" s="242">
        <v>4642.8999999999996</v>
      </c>
      <c r="M868" s="242">
        <v>10149.64</v>
      </c>
      <c r="N868" s="242">
        <v>7400.47</v>
      </c>
      <c r="O868" s="242">
        <v>51210.080000000002</v>
      </c>
    </row>
    <row r="869" spans="1:15" x14ac:dyDescent="0.25">
      <c r="A869" s="241" t="s">
        <v>1324</v>
      </c>
      <c r="B869" s="241" t="s">
        <v>1325</v>
      </c>
      <c r="C869" s="242">
        <v>950997.33</v>
      </c>
      <c r="D869" s="242">
        <v>1084722.95</v>
      </c>
      <c r="E869" s="242">
        <v>989338.51</v>
      </c>
      <c r="F869" s="242">
        <v>892426.46</v>
      </c>
      <c r="G869" s="242">
        <v>972447.51</v>
      </c>
      <c r="H869" s="242">
        <v>906655.55</v>
      </c>
      <c r="I869" s="242">
        <v>948654.96</v>
      </c>
      <c r="J869" s="242">
        <v>915687.97</v>
      </c>
      <c r="K869" s="242">
        <v>1005968.9</v>
      </c>
      <c r="L869" s="242">
        <v>971836.65</v>
      </c>
      <c r="M869" s="242">
        <v>1040827.35</v>
      </c>
      <c r="N869" s="242">
        <v>1098229.5900000001</v>
      </c>
      <c r="O869" s="242">
        <v>11777793.73</v>
      </c>
    </row>
    <row r="870" spans="1:15" x14ac:dyDescent="0.25">
      <c r="A870" s="239"/>
      <c r="B870" s="239" t="s">
        <v>1326</v>
      </c>
      <c r="C870" s="245">
        <v>10664031.59</v>
      </c>
      <c r="D870" s="245">
        <v>10849947.57</v>
      </c>
      <c r="E870" s="245">
        <v>9742630.3499999996</v>
      </c>
      <c r="F870" s="245">
        <v>10049071.33</v>
      </c>
      <c r="G870" s="245">
        <v>10564200.310000001</v>
      </c>
      <c r="H870" s="245">
        <v>10000161.050000001</v>
      </c>
      <c r="I870" s="245">
        <v>11142980.619999999</v>
      </c>
      <c r="J870" s="245">
        <v>10645202.51</v>
      </c>
      <c r="K870" s="245">
        <v>10909317.9</v>
      </c>
      <c r="L870" s="245">
        <v>10036650.550000001</v>
      </c>
      <c r="M870" s="245">
        <v>10334402.23</v>
      </c>
      <c r="N870" s="245">
        <v>10148867.59</v>
      </c>
      <c r="O870" s="245">
        <v>125087463.59999999</v>
      </c>
    </row>
    <row r="871" spans="1:15" x14ac:dyDescent="0.25">
      <c r="A871" s="235"/>
      <c r="B871" s="235"/>
      <c r="C871" s="236"/>
      <c r="D871" s="236"/>
      <c r="E871" s="236"/>
      <c r="F871" s="236"/>
      <c r="G871" s="236"/>
      <c r="H871" s="236"/>
      <c r="I871" s="236"/>
      <c r="J871" s="236"/>
      <c r="K871" s="236"/>
      <c r="L871" s="236"/>
      <c r="M871" s="236"/>
      <c r="N871" s="236"/>
      <c r="O871" s="236"/>
    </row>
    <row r="872" spans="1:15" x14ac:dyDescent="0.25">
      <c r="A872" s="239"/>
      <c r="B872" s="239" t="s">
        <v>1327</v>
      </c>
      <c r="C872" s="240"/>
      <c r="D872" s="240"/>
      <c r="E872" s="240"/>
      <c r="F872" s="240"/>
      <c r="G872" s="240"/>
      <c r="H872" s="240"/>
      <c r="I872" s="240"/>
      <c r="J872" s="240"/>
      <c r="K872" s="240"/>
      <c r="L872" s="240"/>
      <c r="M872" s="240"/>
      <c r="N872" s="240"/>
      <c r="O872" s="240"/>
    </row>
    <row r="873" spans="1:15" x14ac:dyDescent="0.25">
      <c r="A873" s="241" t="s">
        <v>1328</v>
      </c>
      <c r="B873" s="241" t="s">
        <v>1329</v>
      </c>
      <c r="C873" s="242">
        <v>452612.17</v>
      </c>
      <c r="D873" s="242">
        <v>552152.07999999996</v>
      </c>
      <c r="E873" s="242">
        <v>575844.93999999994</v>
      </c>
      <c r="F873" s="242">
        <v>467435.77</v>
      </c>
      <c r="G873" s="242">
        <v>234235.28</v>
      </c>
      <c r="H873" s="242">
        <v>114384.22</v>
      </c>
      <c r="I873" s="242">
        <v>225976.63</v>
      </c>
      <c r="J873" s="242">
        <v>325907.78000000003</v>
      </c>
      <c r="K873" s="242">
        <v>326758.86</v>
      </c>
      <c r="L873" s="242">
        <v>444475.64</v>
      </c>
      <c r="M873" s="242">
        <v>540333.47</v>
      </c>
      <c r="N873" s="242">
        <v>487271.86</v>
      </c>
      <c r="O873" s="242">
        <v>4747388.7</v>
      </c>
    </row>
    <row r="874" spans="1:15" x14ac:dyDescent="0.25">
      <c r="A874" s="241" t="s">
        <v>1442</v>
      </c>
      <c r="B874" s="241" t="s">
        <v>1330</v>
      </c>
      <c r="C874" s="242">
        <v>892026.76</v>
      </c>
      <c r="D874" s="242">
        <v>926977.72</v>
      </c>
      <c r="E874" s="242">
        <v>970321.56</v>
      </c>
      <c r="F874" s="242">
        <v>879839.36</v>
      </c>
      <c r="G874" s="242">
        <v>1023400.28</v>
      </c>
      <c r="H874" s="242">
        <v>821426.06</v>
      </c>
      <c r="I874" s="242">
        <v>1321237.93</v>
      </c>
      <c r="J874" s="242">
        <v>768286.14</v>
      </c>
      <c r="K874" s="242">
        <v>839129.17</v>
      </c>
      <c r="L874" s="242">
        <v>847354.96</v>
      </c>
      <c r="M874" s="242">
        <v>841429.62</v>
      </c>
      <c r="N874" s="242">
        <v>853335.6</v>
      </c>
      <c r="O874" s="242">
        <v>10984765.16</v>
      </c>
    </row>
    <row r="875" spans="1:15" x14ac:dyDescent="0.25">
      <c r="A875" s="241" t="s">
        <v>1505</v>
      </c>
      <c r="B875" s="241" t="s">
        <v>1331</v>
      </c>
      <c r="C875" s="242">
        <v>522804.61</v>
      </c>
      <c r="D875" s="242">
        <v>681003.31</v>
      </c>
      <c r="E875" s="242">
        <v>1229940.02</v>
      </c>
      <c r="F875" s="242">
        <v>1634078.88</v>
      </c>
      <c r="G875" s="242">
        <v>658363.55000000005</v>
      </c>
      <c r="H875" s="242">
        <v>542611.63</v>
      </c>
      <c r="I875" s="242">
        <v>551868.06000000006</v>
      </c>
      <c r="J875" s="242">
        <v>281285.15000000002</v>
      </c>
      <c r="K875" s="242">
        <v>464955.07</v>
      </c>
      <c r="L875" s="242">
        <v>402011.4</v>
      </c>
      <c r="M875" s="242">
        <v>234223.02</v>
      </c>
      <c r="N875" s="242">
        <v>459761.37</v>
      </c>
      <c r="O875" s="242">
        <v>7662906.0700000003</v>
      </c>
    </row>
    <row r="876" spans="1:15" x14ac:dyDescent="0.25">
      <c r="A876" s="241" t="s">
        <v>1443</v>
      </c>
      <c r="B876" s="241" t="s">
        <v>1332</v>
      </c>
      <c r="C876" s="242">
        <v>215067.07</v>
      </c>
      <c r="D876" s="242">
        <v>376047.1</v>
      </c>
      <c r="E876" s="242">
        <v>-123107.3</v>
      </c>
      <c r="F876" s="242">
        <v>-743461.58</v>
      </c>
      <c r="G876" s="242">
        <v>278616.53000000003</v>
      </c>
      <c r="H876" s="242">
        <v>190154.61</v>
      </c>
      <c r="I876" s="242">
        <v>-306307.64</v>
      </c>
      <c r="J876" s="242">
        <v>213461.84</v>
      </c>
      <c r="K876" s="242">
        <v>217312.37</v>
      </c>
      <c r="L876" s="242">
        <v>-50249.31</v>
      </c>
      <c r="M876" s="242">
        <v>260177.95</v>
      </c>
      <c r="N876" s="242">
        <v>225831.64</v>
      </c>
      <c r="O876" s="242">
        <v>753543.28</v>
      </c>
    </row>
    <row r="877" spans="1:15" x14ac:dyDescent="0.25">
      <c r="A877" s="241" t="s">
        <v>1333</v>
      </c>
      <c r="B877" s="241" t="s">
        <v>1334</v>
      </c>
      <c r="C877" s="242">
        <v>25514.080000000002</v>
      </c>
      <c r="D877" s="242">
        <v>26738.57</v>
      </c>
      <c r="E877" s="242">
        <v>28115.58</v>
      </c>
      <c r="F877" s="242">
        <v>19414.39</v>
      </c>
      <c r="G877" s="242">
        <v>24156.36</v>
      </c>
      <c r="H877" s="242">
        <v>33004.31</v>
      </c>
      <c r="I877" s="242">
        <v>50333.86</v>
      </c>
      <c r="J877" s="242">
        <v>53774.99</v>
      </c>
      <c r="K877" s="242">
        <v>71822.78</v>
      </c>
      <c r="L877" s="242">
        <v>59849.72</v>
      </c>
      <c r="M877" s="242">
        <v>49692.639999999999</v>
      </c>
      <c r="N877" s="242">
        <v>55878.71</v>
      </c>
      <c r="O877" s="242">
        <v>498295.99</v>
      </c>
    </row>
    <row r="878" spans="1:15" x14ac:dyDescent="0.25">
      <c r="A878" s="241"/>
      <c r="B878" s="241" t="s">
        <v>1335</v>
      </c>
      <c r="C878" s="242">
        <v>2108024.69</v>
      </c>
      <c r="D878" s="242">
        <v>2562918.7799999998</v>
      </c>
      <c r="E878" s="242">
        <v>2681114.7999999998</v>
      </c>
      <c r="F878" s="242">
        <v>2257306.8199999998</v>
      </c>
      <c r="G878" s="242">
        <v>2218772</v>
      </c>
      <c r="H878" s="242">
        <v>1701580.83</v>
      </c>
      <c r="I878" s="242">
        <v>1843108.84</v>
      </c>
      <c r="J878" s="242">
        <v>1642715.9</v>
      </c>
      <c r="K878" s="242">
        <v>1919978.25</v>
      </c>
      <c r="L878" s="242">
        <v>1703442.41</v>
      </c>
      <c r="M878" s="242">
        <v>1925856.7</v>
      </c>
      <c r="N878" s="242">
        <v>2082079.18</v>
      </c>
      <c r="O878" s="242">
        <v>24646899.199999999</v>
      </c>
    </row>
    <row r="879" spans="1:15" x14ac:dyDescent="0.25">
      <c r="A879" s="241"/>
      <c r="B879" s="241" t="s">
        <v>1336</v>
      </c>
      <c r="C879" s="252">
        <v>0.1976761482943</v>
      </c>
      <c r="D879" s="252">
        <v>0.2362148538935</v>
      </c>
      <c r="E879" s="252">
        <v>0.27519414200089998</v>
      </c>
      <c r="F879" s="252">
        <v>0.22462840056290001</v>
      </c>
      <c r="G879" s="252">
        <v>0.21002744504000001</v>
      </c>
      <c r="H879" s="252">
        <v>0.17015534264820001</v>
      </c>
      <c r="I879" s="252">
        <v>0.16540537068620001</v>
      </c>
      <c r="J879" s="252">
        <v>0.154315138529</v>
      </c>
      <c r="K879" s="252">
        <v>0.1759943442477</v>
      </c>
      <c r="L879" s="252">
        <v>0.16972219980299999</v>
      </c>
      <c r="M879" s="252">
        <v>0.1863539522789</v>
      </c>
      <c r="N879" s="252">
        <v>0.20515384219329999</v>
      </c>
      <c r="O879" s="252">
        <v>2.3708411801779001</v>
      </c>
    </row>
    <row r="880" spans="1:15" x14ac:dyDescent="0.25">
      <c r="A880" s="241"/>
      <c r="B880" s="241" t="s">
        <v>1337</v>
      </c>
      <c r="C880" s="252">
        <v>8.3648173064000006E-2</v>
      </c>
      <c r="D880" s="252">
        <v>8.5436147411699997E-2</v>
      </c>
      <c r="E880" s="252">
        <v>9.9595440362800006E-2</v>
      </c>
      <c r="F880" s="252">
        <v>8.7554295427600001E-2</v>
      </c>
      <c r="G880" s="252">
        <v>9.6874372879100001E-2</v>
      </c>
      <c r="H880" s="252">
        <v>8.2141283114600006E-2</v>
      </c>
      <c r="I880" s="252">
        <v>0.11857132082129999</v>
      </c>
      <c r="J880" s="252">
        <v>7.2172054902500005E-2</v>
      </c>
      <c r="K880" s="252">
        <v>7.69185734334E-2</v>
      </c>
      <c r="L880" s="252">
        <v>8.44260698107E-2</v>
      </c>
      <c r="M880" s="252">
        <v>8.1420250661199997E-2</v>
      </c>
      <c r="N880" s="252">
        <v>8.4081853707600004E-2</v>
      </c>
      <c r="O880" s="252">
        <v>1.0528398355965001</v>
      </c>
    </row>
    <row r="881" spans="1:15" x14ac:dyDescent="0.25">
      <c r="A881" s="235"/>
      <c r="B881" s="235"/>
      <c r="C881" s="236"/>
      <c r="D881" s="236"/>
      <c r="E881" s="236"/>
      <c r="F881" s="236"/>
      <c r="G881" s="236"/>
      <c r="H881" s="236"/>
      <c r="I881" s="236"/>
      <c r="J881" s="236"/>
      <c r="K881" s="236"/>
      <c r="L881" s="236"/>
      <c r="M881" s="236"/>
      <c r="N881" s="236"/>
      <c r="O881" s="236"/>
    </row>
    <row r="882" spans="1:15" x14ac:dyDescent="0.25">
      <c r="A882" s="237"/>
      <c r="B882" s="237" t="s">
        <v>1338</v>
      </c>
      <c r="C882" s="238"/>
      <c r="D882" s="238"/>
      <c r="E882" s="238"/>
      <c r="F882" s="238"/>
      <c r="G882" s="238"/>
      <c r="H882" s="238"/>
      <c r="I882" s="238"/>
      <c r="J882" s="238"/>
      <c r="K882" s="238"/>
      <c r="L882" s="238"/>
      <c r="M882" s="238"/>
      <c r="N882" s="238"/>
      <c r="O882" s="238"/>
    </row>
    <row r="883" spans="1:15" x14ac:dyDescent="0.25">
      <c r="A883" s="237"/>
      <c r="B883" s="237"/>
      <c r="C883" s="238"/>
      <c r="D883" s="238"/>
      <c r="E883" s="238"/>
      <c r="F883" s="238"/>
      <c r="G883" s="238"/>
      <c r="H883" s="238"/>
      <c r="I883" s="238"/>
      <c r="J883" s="238"/>
      <c r="K883" s="238"/>
      <c r="L883" s="238"/>
      <c r="M883" s="238"/>
      <c r="N883" s="238"/>
      <c r="O883" s="238"/>
    </row>
    <row r="884" spans="1:15" x14ac:dyDescent="0.25">
      <c r="A884" s="241" t="s">
        <v>1339</v>
      </c>
      <c r="B884" s="241" t="s">
        <v>1340</v>
      </c>
      <c r="C884" s="242">
        <v>7076</v>
      </c>
      <c r="D884" s="242">
        <v>7490</v>
      </c>
      <c r="E884" s="242">
        <v>6905</v>
      </c>
      <c r="F884" s="242">
        <v>5400</v>
      </c>
      <c r="G884" s="242">
        <v>5717</v>
      </c>
      <c r="H884" s="242">
        <v>6463</v>
      </c>
      <c r="I884" s="242">
        <v>7609</v>
      </c>
      <c r="J884" s="242">
        <v>7028</v>
      </c>
      <c r="K884" s="242">
        <v>8034</v>
      </c>
      <c r="L884" s="242">
        <v>7730</v>
      </c>
      <c r="M884" s="242">
        <v>8210</v>
      </c>
      <c r="N884" s="242">
        <v>8271</v>
      </c>
      <c r="O884" s="242">
        <v>85933</v>
      </c>
    </row>
    <row r="885" spans="1:15" x14ac:dyDescent="0.25">
      <c r="A885" s="241" t="s">
        <v>1341</v>
      </c>
      <c r="B885" s="241" t="s">
        <v>1342</v>
      </c>
      <c r="C885" s="242">
        <v>812</v>
      </c>
      <c r="D885" s="242">
        <v>855</v>
      </c>
      <c r="E885" s="242">
        <v>665</v>
      </c>
      <c r="F885" s="242">
        <v>645</v>
      </c>
      <c r="G885" s="242">
        <v>1157</v>
      </c>
      <c r="H885" s="242">
        <v>960</v>
      </c>
      <c r="I885" s="242">
        <v>1101</v>
      </c>
      <c r="J885" s="242">
        <v>956</v>
      </c>
      <c r="K885" s="242">
        <v>1047</v>
      </c>
      <c r="L885" s="242">
        <v>787</v>
      </c>
      <c r="M885" s="242">
        <v>1118</v>
      </c>
      <c r="N885" s="242">
        <v>1232</v>
      </c>
      <c r="O885" s="242">
        <v>11335</v>
      </c>
    </row>
    <row r="886" spans="1:15" x14ac:dyDescent="0.25">
      <c r="A886" s="241" t="s">
        <v>1343</v>
      </c>
      <c r="B886" s="241" t="s">
        <v>1344</v>
      </c>
      <c r="C886" s="242">
        <v>3355</v>
      </c>
      <c r="D886" s="242">
        <v>3260</v>
      </c>
      <c r="E886" s="242">
        <v>3199</v>
      </c>
      <c r="F886" s="242">
        <v>3534</v>
      </c>
      <c r="G886" s="242">
        <v>4076</v>
      </c>
      <c r="H886" s="242">
        <v>3682</v>
      </c>
      <c r="I886" s="242">
        <v>4241</v>
      </c>
      <c r="J886" s="242">
        <v>5051</v>
      </c>
      <c r="K886" s="242">
        <v>4128</v>
      </c>
      <c r="L886" s="242">
        <v>3509</v>
      </c>
      <c r="M886" s="242">
        <v>3824</v>
      </c>
      <c r="N886" s="242">
        <v>3764</v>
      </c>
      <c r="O886" s="242">
        <v>45623</v>
      </c>
    </row>
    <row r="887" spans="1:15" x14ac:dyDescent="0.25">
      <c r="A887" s="241" t="s">
        <v>1345</v>
      </c>
      <c r="B887" s="241" t="s">
        <v>1346</v>
      </c>
      <c r="C887" s="242">
        <v>14254</v>
      </c>
      <c r="D887" s="242">
        <v>15460</v>
      </c>
      <c r="E887" s="242">
        <v>19905</v>
      </c>
      <c r="F887" s="242">
        <v>22294</v>
      </c>
      <c r="G887" s="242">
        <v>19615</v>
      </c>
      <c r="H887" s="242">
        <v>14680</v>
      </c>
      <c r="I887" s="242">
        <v>12320</v>
      </c>
      <c r="J887" s="242">
        <v>11511</v>
      </c>
      <c r="K887" s="242">
        <v>10917</v>
      </c>
      <c r="L887" s="242">
        <v>9940</v>
      </c>
      <c r="M887" s="242">
        <v>10944</v>
      </c>
      <c r="N887" s="242">
        <v>11061</v>
      </c>
      <c r="O887" s="242">
        <v>172901</v>
      </c>
    </row>
    <row r="888" spans="1:15" x14ac:dyDescent="0.25">
      <c r="A888" s="241" t="s">
        <v>1347</v>
      </c>
      <c r="B888" s="241" t="s">
        <v>1348</v>
      </c>
      <c r="C888" s="242">
        <v>3033</v>
      </c>
      <c r="D888" s="242">
        <v>3139</v>
      </c>
      <c r="E888" s="242">
        <v>2585</v>
      </c>
      <c r="F888" s="242">
        <v>2424</v>
      </c>
      <c r="G888" s="242">
        <v>2664</v>
      </c>
      <c r="H888" s="242">
        <v>2135</v>
      </c>
      <c r="I888" s="242">
        <v>2625</v>
      </c>
      <c r="J888" s="242">
        <v>2633</v>
      </c>
      <c r="K888" s="242">
        <v>2939</v>
      </c>
      <c r="L888" s="242">
        <v>2770</v>
      </c>
      <c r="M888" s="242">
        <v>3918</v>
      </c>
      <c r="N888" s="242">
        <v>3821</v>
      </c>
      <c r="O888" s="242">
        <v>34686</v>
      </c>
    </row>
    <row r="889" spans="1:15" x14ac:dyDescent="0.25">
      <c r="A889" s="241" t="s">
        <v>1541</v>
      </c>
      <c r="B889" s="241" t="s">
        <v>1542</v>
      </c>
      <c r="C889" s="243"/>
      <c r="D889" s="243"/>
      <c r="E889" s="243"/>
      <c r="F889" s="243"/>
      <c r="G889" s="242">
        <v>34</v>
      </c>
      <c r="H889" s="242">
        <v>25</v>
      </c>
      <c r="I889" s="242">
        <v>155</v>
      </c>
      <c r="J889" s="242">
        <v>96</v>
      </c>
      <c r="K889" s="242">
        <v>93</v>
      </c>
      <c r="L889" s="242">
        <v>165</v>
      </c>
      <c r="M889" s="242">
        <v>120</v>
      </c>
      <c r="N889" s="242">
        <v>112</v>
      </c>
      <c r="O889" s="242">
        <v>800</v>
      </c>
    </row>
    <row r="890" spans="1:15" x14ac:dyDescent="0.25">
      <c r="A890" s="241" t="s">
        <v>1349</v>
      </c>
      <c r="B890" s="241" t="s">
        <v>1350</v>
      </c>
      <c r="C890" s="242">
        <v>71640</v>
      </c>
      <c r="D890" s="242">
        <v>71734</v>
      </c>
      <c r="E890" s="242">
        <v>62558</v>
      </c>
      <c r="F890" s="242">
        <v>61101</v>
      </c>
      <c r="G890" s="242">
        <v>62630</v>
      </c>
      <c r="H890" s="242">
        <v>61098</v>
      </c>
      <c r="I890" s="242">
        <v>71034</v>
      </c>
      <c r="J890" s="242">
        <v>70377</v>
      </c>
      <c r="K890" s="242">
        <v>72570</v>
      </c>
      <c r="L890" s="242">
        <v>71761</v>
      </c>
      <c r="M890" s="242">
        <v>75321</v>
      </c>
      <c r="N890" s="242">
        <v>76714</v>
      </c>
      <c r="O890" s="242">
        <v>828538</v>
      </c>
    </row>
    <row r="891" spans="1:15" x14ac:dyDescent="0.25">
      <c r="A891" s="241" t="s">
        <v>1351</v>
      </c>
      <c r="B891" s="241" t="s">
        <v>1352</v>
      </c>
      <c r="C891" s="242">
        <v>103</v>
      </c>
      <c r="D891" s="242">
        <v>470</v>
      </c>
      <c r="E891" s="242">
        <v>388</v>
      </c>
      <c r="F891" s="242">
        <v>188</v>
      </c>
      <c r="G891" s="242">
        <v>1314</v>
      </c>
      <c r="H891" s="242">
        <v>239</v>
      </c>
      <c r="I891" s="242">
        <v>812</v>
      </c>
      <c r="J891" s="242">
        <v>1756</v>
      </c>
      <c r="K891" s="242">
        <v>3260</v>
      </c>
      <c r="L891" s="242">
        <v>2975</v>
      </c>
      <c r="M891" s="242">
        <v>1801</v>
      </c>
      <c r="N891" s="242">
        <v>-223</v>
      </c>
      <c r="O891" s="242">
        <v>13083</v>
      </c>
    </row>
    <row r="892" spans="1:15" x14ac:dyDescent="0.25">
      <c r="A892" s="241" t="s">
        <v>1353</v>
      </c>
      <c r="B892" s="241" t="s">
        <v>1354</v>
      </c>
      <c r="C892" s="242">
        <v>194</v>
      </c>
      <c r="D892" s="242">
        <v>94</v>
      </c>
      <c r="E892" s="242">
        <v>137</v>
      </c>
      <c r="F892" s="242">
        <v>97</v>
      </c>
      <c r="G892" s="242">
        <v>138</v>
      </c>
      <c r="H892" s="242">
        <v>100</v>
      </c>
      <c r="I892" s="242">
        <v>134</v>
      </c>
      <c r="J892" s="242">
        <v>81</v>
      </c>
      <c r="K892" s="242">
        <v>134</v>
      </c>
      <c r="L892" s="242">
        <v>229</v>
      </c>
      <c r="M892" s="242">
        <v>219</v>
      </c>
      <c r="N892" s="242">
        <v>234</v>
      </c>
      <c r="O892" s="242">
        <v>1791</v>
      </c>
    </row>
    <row r="893" spans="1:15" x14ac:dyDescent="0.25">
      <c r="A893" s="241" t="s">
        <v>1355</v>
      </c>
      <c r="B893" s="241" t="s">
        <v>1356</v>
      </c>
      <c r="C893" s="242">
        <v>299</v>
      </c>
      <c r="D893" s="242">
        <v>275</v>
      </c>
      <c r="E893" s="242">
        <v>252</v>
      </c>
      <c r="F893" s="242">
        <v>265</v>
      </c>
      <c r="G893" s="242">
        <v>250</v>
      </c>
      <c r="H893" s="242">
        <v>221</v>
      </c>
      <c r="I893" s="242">
        <v>261</v>
      </c>
      <c r="J893" s="242">
        <v>247</v>
      </c>
      <c r="K893" s="242">
        <v>259</v>
      </c>
      <c r="L893" s="242">
        <v>335</v>
      </c>
      <c r="M893" s="242">
        <v>276</v>
      </c>
      <c r="N893" s="242">
        <v>213</v>
      </c>
      <c r="O893" s="242">
        <v>3153</v>
      </c>
    </row>
    <row r="894" spans="1:15" x14ac:dyDescent="0.25">
      <c r="A894" s="241" t="s">
        <v>1357</v>
      </c>
      <c r="B894" s="241" t="s">
        <v>1358</v>
      </c>
      <c r="C894" s="242">
        <v>855</v>
      </c>
      <c r="D894" s="242">
        <v>879</v>
      </c>
      <c r="E894" s="242">
        <v>810</v>
      </c>
      <c r="F894" s="242">
        <v>803</v>
      </c>
      <c r="G894" s="242">
        <v>822</v>
      </c>
      <c r="H894" s="242">
        <v>765</v>
      </c>
      <c r="I894" s="242">
        <v>874</v>
      </c>
      <c r="J894" s="242">
        <v>856</v>
      </c>
      <c r="K894" s="242">
        <v>837</v>
      </c>
      <c r="L894" s="242">
        <v>685</v>
      </c>
      <c r="M894" s="242">
        <v>690</v>
      </c>
      <c r="N894" s="242">
        <v>702</v>
      </c>
      <c r="O894" s="242">
        <v>9578</v>
      </c>
    </row>
    <row r="895" spans="1:15" x14ac:dyDescent="0.25">
      <c r="A895" s="241" t="s">
        <v>1359</v>
      </c>
      <c r="B895" s="241" t="s">
        <v>1360</v>
      </c>
      <c r="C895" s="244">
        <v>2391</v>
      </c>
      <c r="D895" s="244">
        <v>2890</v>
      </c>
      <c r="E895" s="244">
        <v>2763</v>
      </c>
      <c r="F895" s="244">
        <v>3349</v>
      </c>
      <c r="G895" s="244">
        <v>4118</v>
      </c>
      <c r="H895" s="244">
        <v>3366</v>
      </c>
      <c r="I895" s="244">
        <v>3428</v>
      </c>
      <c r="J895" s="244">
        <v>1436</v>
      </c>
      <c r="K895" s="244">
        <v>2877</v>
      </c>
      <c r="L895" s="244">
        <v>3311</v>
      </c>
      <c r="M895" s="244">
        <v>2416</v>
      </c>
      <c r="N895" s="244">
        <v>2662</v>
      </c>
      <c r="O895" s="244">
        <v>35007</v>
      </c>
    </row>
    <row r="896" spans="1:15" ht="15.75" thickBot="1" x14ac:dyDescent="0.3">
      <c r="A896" s="239"/>
      <c r="B896" s="239" t="s">
        <v>1361</v>
      </c>
      <c r="C896" s="254">
        <v>104012</v>
      </c>
      <c r="D896" s="254">
        <v>106546</v>
      </c>
      <c r="E896" s="254">
        <v>100167</v>
      </c>
      <c r="F896" s="254">
        <v>100100</v>
      </c>
      <c r="G896" s="254">
        <v>102535</v>
      </c>
      <c r="H896" s="254">
        <v>93734</v>
      </c>
      <c r="I896" s="254">
        <v>104594</v>
      </c>
      <c r="J896" s="254">
        <v>102028</v>
      </c>
      <c r="K896" s="254">
        <v>107095</v>
      </c>
      <c r="L896" s="254">
        <v>104197</v>
      </c>
      <c r="M896" s="254">
        <v>108857</v>
      </c>
      <c r="N896" s="254">
        <v>108563</v>
      </c>
      <c r="O896" s="254">
        <v>1242428</v>
      </c>
    </row>
    <row r="897" spans="1:15" ht="15.75" thickTop="1" x14ac:dyDescent="0.25">
      <c r="A897" s="235"/>
      <c r="B897" s="235"/>
      <c r="C897" s="236"/>
      <c r="D897" s="236"/>
      <c r="E897" s="236"/>
      <c r="F897" s="236"/>
      <c r="G897" s="236"/>
      <c r="H897" s="236"/>
      <c r="I897" s="236"/>
      <c r="J897" s="236"/>
      <c r="K897" s="236"/>
      <c r="L897" s="236"/>
      <c r="M897" s="236"/>
      <c r="N897" s="236"/>
      <c r="O897" s="236"/>
    </row>
    <row r="898" spans="1:15" x14ac:dyDescent="0.25">
      <c r="A898" s="241" t="s">
        <v>1362</v>
      </c>
      <c r="B898" s="241" t="s">
        <v>1363</v>
      </c>
      <c r="C898" s="255">
        <v>139470</v>
      </c>
      <c r="D898" s="255">
        <v>144119</v>
      </c>
      <c r="E898" s="255">
        <v>139470</v>
      </c>
      <c r="F898" s="255">
        <v>142538</v>
      </c>
      <c r="G898" s="255">
        <v>142538</v>
      </c>
      <c r="H898" s="255">
        <v>128744</v>
      </c>
      <c r="I898" s="255">
        <v>142538</v>
      </c>
      <c r="J898" s="255">
        <v>137940</v>
      </c>
      <c r="K898" s="255">
        <v>142538</v>
      </c>
      <c r="L898" s="255">
        <v>137940</v>
      </c>
      <c r="M898" s="255">
        <v>142538</v>
      </c>
      <c r="N898" s="255">
        <v>142538</v>
      </c>
      <c r="O898" s="255">
        <v>1682911</v>
      </c>
    </row>
    <row r="899" spans="1:15" x14ac:dyDescent="0.25">
      <c r="A899" s="241"/>
      <c r="B899" s="241" t="s">
        <v>1364</v>
      </c>
      <c r="C899" s="252">
        <v>0.74576611457660003</v>
      </c>
      <c r="D899" s="252">
        <v>0.73929183521950004</v>
      </c>
      <c r="E899" s="252">
        <v>0.71819746181970001</v>
      </c>
      <c r="F899" s="252">
        <v>0.70226886865259996</v>
      </c>
      <c r="G899" s="252">
        <v>0.71935203244050006</v>
      </c>
      <c r="H899" s="252">
        <v>0.72806499720380002</v>
      </c>
      <c r="I899" s="252">
        <v>0.73379730317530001</v>
      </c>
      <c r="J899" s="252">
        <v>0.73965492242999997</v>
      </c>
      <c r="K899" s="252">
        <v>0.75134350138210004</v>
      </c>
      <c r="L899" s="252">
        <v>0.75537915035519998</v>
      </c>
      <c r="M899" s="252">
        <v>0.76370511723190004</v>
      </c>
      <c r="N899" s="252">
        <v>0.76164250936589994</v>
      </c>
      <c r="O899" s="252">
        <v>8.8584638138530991</v>
      </c>
    </row>
    <row r="900" spans="1:15" x14ac:dyDescent="0.25">
      <c r="A900" s="235"/>
      <c r="B900" s="235"/>
      <c r="C900" s="236"/>
      <c r="D900" s="236"/>
      <c r="E900" s="236"/>
      <c r="F900" s="236"/>
      <c r="G900" s="236"/>
      <c r="H900" s="236"/>
      <c r="I900" s="236"/>
      <c r="J900" s="236"/>
      <c r="K900" s="236"/>
      <c r="L900" s="236"/>
      <c r="M900" s="236"/>
      <c r="N900" s="236"/>
      <c r="O900" s="236"/>
    </row>
    <row r="901" spans="1:15" x14ac:dyDescent="0.25">
      <c r="A901" s="241"/>
      <c r="B901" s="241" t="s">
        <v>1378</v>
      </c>
      <c r="C901" s="252">
        <v>0.72396464119159998</v>
      </c>
      <c r="D901" s="252">
        <v>0.71767962871900004</v>
      </c>
      <c r="E901" s="252">
        <v>0.69720192106909995</v>
      </c>
      <c r="F901" s="252">
        <v>0.68151799452609996</v>
      </c>
      <c r="G901" s="252">
        <v>0.69809637930799995</v>
      </c>
      <c r="H901" s="252">
        <v>0.70655189049029998</v>
      </c>
      <c r="I901" s="252">
        <v>0.71211481637819996</v>
      </c>
      <c r="J901" s="252">
        <v>0.71779935275079998</v>
      </c>
      <c r="K901" s="252">
        <v>0.72914255368400005</v>
      </c>
      <c r="L901" s="252">
        <v>0.73305895595890003</v>
      </c>
      <c r="M901" s="252">
        <v>0.74113890439679997</v>
      </c>
      <c r="N901" s="252">
        <v>0.73913724315420004</v>
      </c>
      <c r="O901" s="252">
        <v>8.5974042816270995</v>
      </c>
    </row>
    <row r="902" spans="1:15" x14ac:dyDescent="0.25">
      <c r="A902" s="241" t="s">
        <v>1365</v>
      </c>
      <c r="B902" s="241" t="s">
        <v>1366</v>
      </c>
      <c r="C902" s="255">
        <v>143670</v>
      </c>
      <c r="D902" s="255">
        <v>148459</v>
      </c>
      <c r="E902" s="255">
        <v>143670</v>
      </c>
      <c r="F902" s="255">
        <v>146878</v>
      </c>
      <c r="G902" s="255">
        <v>146878</v>
      </c>
      <c r="H902" s="255">
        <v>132664</v>
      </c>
      <c r="I902" s="255">
        <v>146878</v>
      </c>
      <c r="J902" s="255">
        <v>142140</v>
      </c>
      <c r="K902" s="255">
        <v>146878</v>
      </c>
      <c r="L902" s="255">
        <v>142140</v>
      </c>
      <c r="M902" s="255">
        <v>146878</v>
      </c>
      <c r="N902" s="255">
        <v>146878</v>
      </c>
      <c r="O902" s="255">
        <v>1734011</v>
      </c>
    </row>
    <row r="903" spans="1:15" x14ac:dyDescent="0.25">
      <c r="A903" s="235"/>
      <c r="B903" s="235"/>
      <c r="C903" s="236"/>
      <c r="D903" s="236"/>
      <c r="E903" s="236"/>
      <c r="F903" s="236"/>
      <c r="G903" s="236"/>
      <c r="H903" s="236"/>
      <c r="I903" s="236"/>
      <c r="J903" s="236"/>
      <c r="K903" s="236"/>
      <c r="L903" s="236"/>
      <c r="M903" s="236"/>
      <c r="N903" s="236"/>
      <c r="O903" s="236"/>
    </row>
    <row r="904" spans="1:15" x14ac:dyDescent="0.25">
      <c r="A904" s="237"/>
      <c r="B904" s="237" t="s">
        <v>1543</v>
      </c>
      <c r="C904" s="238"/>
      <c r="D904" s="238"/>
      <c r="E904" s="238"/>
      <c r="F904" s="238"/>
      <c r="G904" s="238"/>
      <c r="H904" s="238"/>
      <c r="I904" s="238"/>
      <c r="J904" s="238"/>
      <c r="K904" s="238"/>
      <c r="L904" s="238"/>
      <c r="M904" s="238"/>
      <c r="N904" s="238"/>
      <c r="O904" s="238"/>
    </row>
    <row r="905" spans="1:15" x14ac:dyDescent="0.25">
      <c r="A905" s="256"/>
      <c r="B905" s="235"/>
      <c r="C905" s="236"/>
      <c r="D905" s="236"/>
      <c r="E905" s="236"/>
      <c r="F905" s="236"/>
      <c r="G905" s="236"/>
      <c r="H905" s="236"/>
      <c r="I905" s="236"/>
      <c r="J905" s="236"/>
      <c r="K905" s="236"/>
      <c r="L905" s="236"/>
      <c r="M905" s="236"/>
      <c r="N905" s="236"/>
      <c r="O905" s="236"/>
    </row>
    <row r="906" spans="1:15" x14ac:dyDescent="0.25">
      <c r="A906" s="241" t="s">
        <v>1544</v>
      </c>
      <c r="B906" s="241" t="s">
        <v>571</v>
      </c>
      <c r="C906" s="257">
        <v>235.86</v>
      </c>
      <c r="D906" s="257">
        <v>241.62</v>
      </c>
      <c r="E906" s="257">
        <v>230.18</v>
      </c>
      <c r="F906" s="257">
        <v>174.19</v>
      </c>
      <c r="G906" s="257">
        <v>184.43</v>
      </c>
      <c r="H906" s="257">
        <v>230.82</v>
      </c>
      <c r="I906" s="257">
        <v>245.45</v>
      </c>
      <c r="J906" s="257">
        <v>234.23</v>
      </c>
      <c r="K906" s="257">
        <v>259.14999999999998</v>
      </c>
      <c r="L906" s="257">
        <v>257.67</v>
      </c>
      <c r="M906" s="257">
        <v>264.81</v>
      </c>
      <c r="N906" s="257">
        <v>266.8</v>
      </c>
      <c r="O906" s="257">
        <v>2825.21</v>
      </c>
    </row>
    <row r="907" spans="1:15" x14ac:dyDescent="0.25">
      <c r="A907" s="241" t="s">
        <v>1545</v>
      </c>
      <c r="B907" s="241" t="s">
        <v>783</v>
      </c>
      <c r="C907" s="257">
        <v>27.05</v>
      </c>
      <c r="D907" s="257">
        <v>27.58</v>
      </c>
      <c r="E907" s="257">
        <v>22.15</v>
      </c>
      <c r="F907" s="257">
        <v>20.81</v>
      </c>
      <c r="G907" s="257">
        <v>37.32</v>
      </c>
      <c r="H907" s="257">
        <v>34.29</v>
      </c>
      <c r="I907" s="257">
        <v>35.520000000000003</v>
      </c>
      <c r="J907" s="257">
        <v>31.86</v>
      </c>
      <c r="K907" s="257">
        <v>33.770000000000003</v>
      </c>
      <c r="L907" s="257">
        <v>26.24</v>
      </c>
      <c r="M907" s="257">
        <v>36.08</v>
      </c>
      <c r="N907" s="257">
        <v>39.74</v>
      </c>
      <c r="O907" s="257">
        <v>372.41</v>
      </c>
    </row>
    <row r="908" spans="1:15" x14ac:dyDescent="0.25">
      <c r="A908" s="241" t="s">
        <v>1546</v>
      </c>
      <c r="B908" s="241" t="s">
        <v>698</v>
      </c>
      <c r="C908" s="257">
        <v>111.86</v>
      </c>
      <c r="D908" s="257">
        <v>105.17</v>
      </c>
      <c r="E908" s="257">
        <v>106.62</v>
      </c>
      <c r="F908" s="257">
        <v>113.99</v>
      </c>
      <c r="G908" s="257">
        <v>131.47999999999999</v>
      </c>
      <c r="H908" s="257">
        <v>131.52000000000001</v>
      </c>
      <c r="I908" s="257">
        <v>136.81</v>
      </c>
      <c r="J908" s="257">
        <v>168.36</v>
      </c>
      <c r="K908" s="257">
        <v>133.16</v>
      </c>
      <c r="L908" s="257">
        <v>116.95</v>
      </c>
      <c r="M908" s="257">
        <v>123.34</v>
      </c>
      <c r="N908" s="257">
        <v>121.43</v>
      </c>
      <c r="O908" s="257">
        <v>1500.69</v>
      </c>
    </row>
    <row r="909" spans="1:15" x14ac:dyDescent="0.25">
      <c r="A909" s="241" t="s">
        <v>1547</v>
      </c>
      <c r="B909" s="241" t="s">
        <v>1548</v>
      </c>
      <c r="C909" s="257">
        <v>475.16</v>
      </c>
      <c r="D909" s="257">
        <v>498.71</v>
      </c>
      <c r="E909" s="257">
        <v>663.48</v>
      </c>
      <c r="F909" s="257">
        <v>719.14</v>
      </c>
      <c r="G909" s="257">
        <v>632.72</v>
      </c>
      <c r="H909" s="257">
        <v>524.30999999999995</v>
      </c>
      <c r="I909" s="257">
        <v>397.41</v>
      </c>
      <c r="J909" s="257">
        <v>383.69</v>
      </c>
      <c r="K909" s="257">
        <v>352.13</v>
      </c>
      <c r="L909" s="257">
        <v>331.32</v>
      </c>
      <c r="M909" s="257">
        <v>353.06</v>
      </c>
      <c r="N909" s="257">
        <v>356.81</v>
      </c>
      <c r="O909" s="257">
        <v>5687.94</v>
      </c>
    </row>
    <row r="910" spans="1:15" x14ac:dyDescent="0.25">
      <c r="A910" s="241" t="s">
        <v>1549</v>
      </c>
      <c r="B910" s="241" t="s">
        <v>721</v>
      </c>
      <c r="C910" s="257">
        <v>101.11</v>
      </c>
      <c r="D910" s="257">
        <v>101.25</v>
      </c>
      <c r="E910" s="257">
        <v>86.16</v>
      </c>
      <c r="F910" s="257">
        <v>78.2</v>
      </c>
      <c r="G910" s="257">
        <v>85.94</v>
      </c>
      <c r="H910" s="257">
        <v>76.239999999999995</v>
      </c>
      <c r="I910" s="257">
        <v>84.67</v>
      </c>
      <c r="J910" s="257">
        <v>87.77</v>
      </c>
      <c r="K910" s="257">
        <v>94.81</v>
      </c>
      <c r="L910" s="257">
        <v>92.35</v>
      </c>
      <c r="M910" s="257">
        <v>126.37</v>
      </c>
      <c r="N910" s="257">
        <v>123.25</v>
      </c>
      <c r="O910" s="257">
        <v>1138.1199999999999</v>
      </c>
    </row>
    <row r="911" spans="1:15" x14ac:dyDescent="0.25">
      <c r="A911" s="241" t="s">
        <v>1550</v>
      </c>
      <c r="B911" s="241" t="s">
        <v>654</v>
      </c>
      <c r="C911" s="243"/>
      <c r="D911" s="243"/>
      <c r="E911" s="243"/>
      <c r="F911" s="243"/>
      <c r="G911" s="257">
        <v>1.1000000000000001</v>
      </c>
      <c r="H911" s="257">
        <v>0.89</v>
      </c>
      <c r="I911" s="257">
        <v>5</v>
      </c>
      <c r="J911" s="257">
        <v>3.2</v>
      </c>
      <c r="K911" s="257">
        <v>3</v>
      </c>
      <c r="L911" s="257">
        <v>5.5</v>
      </c>
      <c r="M911" s="257">
        <v>3.87</v>
      </c>
      <c r="N911" s="257">
        <v>3.61</v>
      </c>
      <c r="O911" s="257">
        <v>26.17</v>
      </c>
    </row>
    <row r="912" spans="1:15" x14ac:dyDescent="0.25">
      <c r="A912" s="241" t="s">
        <v>1551</v>
      </c>
      <c r="B912" s="241" t="s">
        <v>658</v>
      </c>
      <c r="C912" s="257">
        <v>2387.9899999999998</v>
      </c>
      <c r="D912" s="257">
        <v>2314.02</v>
      </c>
      <c r="E912" s="257">
        <v>2085.27</v>
      </c>
      <c r="F912" s="257">
        <v>1971.04</v>
      </c>
      <c r="G912" s="257">
        <v>2020.31</v>
      </c>
      <c r="H912" s="257">
        <v>2182.1</v>
      </c>
      <c r="I912" s="257">
        <v>2291.4299999999998</v>
      </c>
      <c r="J912" s="257">
        <v>2345.9</v>
      </c>
      <c r="K912" s="257">
        <v>2340.98</v>
      </c>
      <c r="L912" s="257">
        <v>2392.0300000000002</v>
      </c>
      <c r="M912" s="257">
        <v>2429.69</v>
      </c>
      <c r="N912" s="257">
        <v>2474.64</v>
      </c>
      <c r="O912" s="257">
        <v>27235.4</v>
      </c>
    </row>
    <row r="913" spans="1:15" x14ac:dyDescent="0.25">
      <c r="A913" s="241" t="s">
        <v>1552</v>
      </c>
      <c r="B913" s="241" t="s">
        <v>680</v>
      </c>
      <c r="C913" s="257">
        <v>3.43</v>
      </c>
      <c r="D913" s="257">
        <v>15.12</v>
      </c>
      <c r="E913" s="257">
        <v>12.95</v>
      </c>
      <c r="F913" s="257">
        <v>6.07</v>
      </c>
      <c r="G913" s="257">
        <v>42.4</v>
      </c>
      <c r="H913" s="257">
        <v>8.57</v>
      </c>
      <c r="I913" s="257">
        <v>26.17</v>
      </c>
      <c r="J913" s="257">
        <v>58.55</v>
      </c>
      <c r="K913" s="257">
        <v>105.15</v>
      </c>
      <c r="L913" s="257">
        <v>99.16</v>
      </c>
      <c r="M913" s="257">
        <v>58.11</v>
      </c>
      <c r="N913" s="257">
        <v>-7.21</v>
      </c>
      <c r="O913" s="257">
        <v>428.47</v>
      </c>
    </row>
    <row r="914" spans="1:15" x14ac:dyDescent="0.25">
      <c r="A914" s="241" t="s">
        <v>1553</v>
      </c>
      <c r="B914" s="241" t="s">
        <v>767</v>
      </c>
      <c r="C914" s="257">
        <v>6.46</v>
      </c>
      <c r="D914" s="257">
        <v>3.04</v>
      </c>
      <c r="E914" s="257">
        <v>4.57</v>
      </c>
      <c r="F914" s="257">
        <v>3.13</v>
      </c>
      <c r="G914" s="257">
        <v>4.45</v>
      </c>
      <c r="H914" s="257">
        <v>3.57</v>
      </c>
      <c r="I914" s="257">
        <v>4.32</v>
      </c>
      <c r="J914" s="257">
        <v>2.7</v>
      </c>
      <c r="K914" s="257">
        <v>4.33</v>
      </c>
      <c r="L914" s="257">
        <v>7.62</v>
      </c>
      <c r="M914" s="257">
        <v>7.06</v>
      </c>
      <c r="N914" s="257">
        <v>7.54</v>
      </c>
      <c r="O914" s="257">
        <v>58.79</v>
      </c>
    </row>
    <row r="915" spans="1:15" x14ac:dyDescent="0.25">
      <c r="A915" s="241" t="s">
        <v>1554</v>
      </c>
      <c r="B915" s="241" t="s">
        <v>739</v>
      </c>
      <c r="C915" s="257">
        <v>9.9700000000000006</v>
      </c>
      <c r="D915" s="257">
        <v>8.8699999999999992</v>
      </c>
      <c r="E915" s="257">
        <v>8.4</v>
      </c>
      <c r="F915" s="257">
        <v>8.5399999999999991</v>
      </c>
      <c r="G915" s="257">
        <v>8.06</v>
      </c>
      <c r="H915" s="257">
        <v>7.89</v>
      </c>
      <c r="I915" s="257">
        <v>8.41</v>
      </c>
      <c r="J915" s="257">
        <v>8.23</v>
      </c>
      <c r="K915" s="257">
        <v>8.35</v>
      </c>
      <c r="L915" s="257">
        <v>11.17</v>
      </c>
      <c r="M915" s="257">
        <v>8.9</v>
      </c>
      <c r="N915" s="257">
        <v>6.87</v>
      </c>
      <c r="O915" s="257">
        <v>103.66</v>
      </c>
    </row>
    <row r="916" spans="1:15" x14ac:dyDescent="0.25">
      <c r="A916" s="241" t="s">
        <v>1555</v>
      </c>
      <c r="B916" s="241" t="s">
        <v>807</v>
      </c>
      <c r="C916" s="257">
        <v>28.5</v>
      </c>
      <c r="D916" s="257">
        <v>28.35</v>
      </c>
      <c r="E916" s="257">
        <v>27</v>
      </c>
      <c r="F916" s="257">
        <v>25.9</v>
      </c>
      <c r="G916" s="257">
        <v>26.52</v>
      </c>
      <c r="H916" s="257">
        <v>27.32</v>
      </c>
      <c r="I916" s="257">
        <v>28.19</v>
      </c>
      <c r="J916" s="257">
        <v>28.53</v>
      </c>
      <c r="K916" s="257">
        <v>27</v>
      </c>
      <c r="L916" s="257">
        <v>22.83</v>
      </c>
      <c r="M916" s="257">
        <v>22.26</v>
      </c>
      <c r="N916" s="257">
        <v>22.65</v>
      </c>
      <c r="O916" s="257">
        <v>315.05</v>
      </c>
    </row>
    <row r="917" spans="1:15" x14ac:dyDescent="0.25">
      <c r="A917" s="241" t="s">
        <v>1556</v>
      </c>
      <c r="B917" s="241" t="s">
        <v>748</v>
      </c>
      <c r="C917" s="257">
        <v>79.69</v>
      </c>
      <c r="D917" s="257">
        <v>93.22</v>
      </c>
      <c r="E917" s="257">
        <v>92.1</v>
      </c>
      <c r="F917" s="257">
        <v>108.04</v>
      </c>
      <c r="G917" s="257">
        <v>132.88</v>
      </c>
      <c r="H917" s="257">
        <v>120.23</v>
      </c>
      <c r="I917" s="257">
        <v>110.59</v>
      </c>
      <c r="J917" s="257">
        <v>47.86</v>
      </c>
      <c r="K917" s="257">
        <v>92.82</v>
      </c>
      <c r="L917" s="257">
        <v>110.37</v>
      </c>
      <c r="M917" s="257">
        <v>77.930000000000007</v>
      </c>
      <c r="N917" s="257">
        <v>85.88</v>
      </c>
      <c r="O917" s="257">
        <v>1151.6099999999999</v>
      </c>
    </row>
    <row r="918" spans="1:15" x14ac:dyDescent="0.25">
      <c r="A918" s="241"/>
      <c r="B918" s="241" t="s">
        <v>1557</v>
      </c>
      <c r="C918" s="246"/>
      <c r="D918" s="246"/>
      <c r="E918" s="246"/>
      <c r="F918" s="246"/>
      <c r="G918" s="246"/>
      <c r="H918" s="246"/>
      <c r="I918" s="246"/>
      <c r="J918" s="246"/>
      <c r="K918" s="246"/>
      <c r="L918" s="246"/>
      <c r="M918" s="246"/>
      <c r="N918" s="246"/>
      <c r="O918" s="246"/>
    </row>
    <row r="919" spans="1:15" ht="15.75" thickBot="1" x14ac:dyDescent="0.3">
      <c r="A919" s="239"/>
      <c r="B919" s="239" t="s">
        <v>1558</v>
      </c>
      <c r="C919" s="258">
        <v>3467.08</v>
      </c>
      <c r="D919" s="258">
        <v>3436.95</v>
      </c>
      <c r="E919" s="258">
        <v>3338.88</v>
      </c>
      <c r="F919" s="258">
        <v>3229.05</v>
      </c>
      <c r="G919" s="258">
        <v>3307.61</v>
      </c>
      <c r="H919" s="258">
        <v>3347.75</v>
      </c>
      <c r="I919" s="258">
        <v>3373.97</v>
      </c>
      <c r="J919" s="258">
        <v>3400.88</v>
      </c>
      <c r="K919" s="258">
        <v>3454.65</v>
      </c>
      <c r="L919" s="258">
        <v>3473.21</v>
      </c>
      <c r="M919" s="258">
        <v>3511.48</v>
      </c>
      <c r="N919" s="258">
        <v>3502.01</v>
      </c>
      <c r="O919" s="258">
        <v>40843.519999999997</v>
      </c>
    </row>
    <row r="920" spans="1:15" ht="15.75" thickTop="1" x14ac:dyDescent="0.25">
      <c r="A920" s="256"/>
      <c r="B920" s="235"/>
      <c r="C920" s="236"/>
      <c r="D920" s="236"/>
      <c r="E920" s="236"/>
      <c r="F920" s="236"/>
      <c r="G920" s="236"/>
      <c r="H920" s="236"/>
      <c r="I920" s="236"/>
      <c r="J920" s="236"/>
      <c r="K920" s="236"/>
      <c r="L920" s="236"/>
      <c r="M920" s="236"/>
      <c r="N920" s="236"/>
      <c r="O920" s="236"/>
    </row>
    <row r="921" spans="1:15" x14ac:dyDescent="0.25">
      <c r="A921" s="259"/>
      <c r="B921" s="259" t="s">
        <v>1559</v>
      </c>
      <c r="C921" s="260"/>
      <c r="D921" s="260"/>
      <c r="E921" s="260"/>
      <c r="F921" s="260"/>
      <c r="G921" s="260"/>
      <c r="H921" s="260"/>
      <c r="I921" s="260"/>
      <c r="J921" s="260"/>
      <c r="K921" s="260"/>
      <c r="L921" s="260"/>
      <c r="M921" s="260"/>
      <c r="N921" s="260"/>
      <c r="O921" s="260"/>
    </row>
    <row r="922" spans="1:15" x14ac:dyDescent="0.25">
      <c r="A922" s="239"/>
      <c r="B922" s="239" t="s">
        <v>1455</v>
      </c>
      <c r="C922" s="240"/>
      <c r="D922" s="240"/>
      <c r="E922" s="240"/>
      <c r="F922" s="240"/>
      <c r="G922" s="240"/>
      <c r="H922" s="240"/>
      <c r="I922" s="240"/>
      <c r="J922" s="240"/>
      <c r="K922" s="240"/>
      <c r="L922" s="240"/>
      <c r="M922" s="240"/>
      <c r="N922" s="240"/>
      <c r="O922" s="240"/>
    </row>
    <row r="923" spans="1:15" x14ac:dyDescent="0.25">
      <c r="A923" s="241" t="s">
        <v>1425</v>
      </c>
      <c r="B923" s="241" t="s">
        <v>1426</v>
      </c>
      <c r="C923" s="242">
        <v>2009999.94</v>
      </c>
      <c r="D923" s="242">
        <v>800000</v>
      </c>
      <c r="E923" s="242">
        <v>2900000.01</v>
      </c>
      <c r="F923" s="242">
        <v>4364272.6900000004</v>
      </c>
      <c r="G923" s="242">
        <v>373366.19</v>
      </c>
      <c r="H923" s="242">
        <v>420813.03</v>
      </c>
      <c r="I923" s="242">
        <v>287627.21999999997</v>
      </c>
      <c r="J923" s="242">
        <v>64944.61</v>
      </c>
      <c r="K923" s="242">
        <v>-292123.3</v>
      </c>
      <c r="L923" s="242">
        <v>-26462.27</v>
      </c>
      <c r="M923" s="243"/>
      <c r="N923" s="243"/>
      <c r="O923" s="242">
        <v>10902438.119999999</v>
      </c>
    </row>
    <row r="924" spans="1:15" x14ac:dyDescent="0.25">
      <c r="A924" s="241" t="s">
        <v>1427</v>
      </c>
      <c r="B924" s="241" t="s">
        <v>1428</v>
      </c>
      <c r="C924" s="242">
        <v>1022781.83</v>
      </c>
      <c r="D924" s="242">
        <v>2186177.4500000002</v>
      </c>
      <c r="E924" s="242">
        <v>1131353.54</v>
      </c>
      <c r="F924" s="242">
        <v>1861550.78</v>
      </c>
      <c r="G924" s="242">
        <v>861074.32</v>
      </c>
      <c r="H924" s="242">
        <v>942658.52</v>
      </c>
      <c r="I924" s="242">
        <v>3744477.65</v>
      </c>
      <c r="J924" s="242">
        <v>1646671.61</v>
      </c>
      <c r="K924" s="242">
        <v>2160985.73</v>
      </c>
      <c r="L924" s="242">
        <v>1978024.67</v>
      </c>
      <c r="M924" s="242">
        <v>1663398</v>
      </c>
      <c r="N924" s="242">
        <v>1337421.18</v>
      </c>
      <c r="O924" s="242">
        <v>20536575.280000001</v>
      </c>
    </row>
    <row r="925" spans="1:15" x14ac:dyDescent="0.25">
      <c r="A925" s="241" t="s">
        <v>1444</v>
      </c>
      <c r="B925" s="241" t="s">
        <v>1445</v>
      </c>
      <c r="C925" s="242">
        <v>171148</v>
      </c>
      <c r="D925" s="242">
        <v>182449</v>
      </c>
      <c r="E925" s="242">
        <v>219722</v>
      </c>
      <c r="F925" s="242">
        <v>249790</v>
      </c>
      <c r="G925" s="242">
        <v>217159</v>
      </c>
      <c r="H925" s="242">
        <v>165495</v>
      </c>
      <c r="I925" s="242">
        <v>151365</v>
      </c>
      <c r="J925" s="242">
        <v>139095</v>
      </c>
      <c r="K925" s="242">
        <v>129384</v>
      </c>
      <c r="L925" s="242">
        <v>129555</v>
      </c>
      <c r="M925" s="242">
        <v>131309</v>
      </c>
      <c r="N925" s="242">
        <v>137747</v>
      </c>
      <c r="O925" s="242">
        <v>2024218</v>
      </c>
    </row>
    <row r="926" spans="1:15" x14ac:dyDescent="0.25">
      <c r="A926" s="241" t="s">
        <v>1446</v>
      </c>
      <c r="B926" s="241" t="s">
        <v>1447</v>
      </c>
      <c r="C926" s="242">
        <v>51112.53</v>
      </c>
      <c r="D926" s="242">
        <v>82504.509999999995</v>
      </c>
      <c r="E926" s="242">
        <v>101779.22</v>
      </c>
      <c r="F926" s="242">
        <v>61018.76</v>
      </c>
      <c r="G926" s="242">
        <v>63593.84</v>
      </c>
      <c r="H926" s="242">
        <v>57206.34</v>
      </c>
      <c r="I926" s="242">
        <v>63885.62</v>
      </c>
      <c r="J926" s="242">
        <v>62884.97</v>
      </c>
      <c r="K926" s="242">
        <v>40660.629999999997</v>
      </c>
      <c r="L926" s="242">
        <v>58270.74</v>
      </c>
      <c r="M926" s="242">
        <v>35184.230000000003</v>
      </c>
      <c r="N926" s="242">
        <v>44934.86</v>
      </c>
      <c r="O926" s="242">
        <v>723036.25</v>
      </c>
    </row>
    <row r="927" spans="1:15" x14ac:dyDescent="0.25">
      <c r="A927" s="241" t="s">
        <v>1492</v>
      </c>
      <c r="B927" s="241" t="s">
        <v>1493</v>
      </c>
      <c r="C927" s="243"/>
      <c r="D927" s="242">
        <v>1102692.67</v>
      </c>
      <c r="E927" s="242">
        <v>543815.21</v>
      </c>
      <c r="F927" s="242">
        <v>3294221.35</v>
      </c>
      <c r="G927" s="242">
        <v>289957.90999999997</v>
      </c>
      <c r="H927" s="242">
        <v>134075.53</v>
      </c>
      <c r="I927" s="242">
        <v>190120.5</v>
      </c>
      <c r="J927" s="242">
        <v>179790.19</v>
      </c>
      <c r="K927" s="242">
        <v>157677.10999999999</v>
      </c>
      <c r="L927" s="242">
        <v>36810.74</v>
      </c>
      <c r="M927" s="243"/>
      <c r="N927" s="242">
        <v>599999.96</v>
      </c>
      <c r="O927" s="242">
        <v>6529161.1699999999</v>
      </c>
    </row>
    <row r="928" spans="1:15" x14ac:dyDescent="0.25">
      <c r="A928" s="239"/>
      <c r="B928" s="239" t="s">
        <v>1456</v>
      </c>
      <c r="C928" s="245">
        <v>3255042.3</v>
      </c>
      <c r="D928" s="245">
        <v>4353823.63</v>
      </c>
      <c r="E928" s="245">
        <v>4896669.9800000004</v>
      </c>
      <c r="F928" s="245">
        <v>9830853.5800000001</v>
      </c>
      <c r="G928" s="245">
        <v>1805151.26</v>
      </c>
      <c r="H928" s="245">
        <v>1720248.42</v>
      </c>
      <c r="I928" s="245">
        <v>4437475.99</v>
      </c>
      <c r="J928" s="245">
        <v>2093386.38</v>
      </c>
      <c r="K928" s="245">
        <v>2196584.17</v>
      </c>
      <c r="L928" s="245">
        <v>2176198.88</v>
      </c>
      <c r="M928" s="245">
        <v>1829891.23</v>
      </c>
      <c r="N928" s="245">
        <v>2120103</v>
      </c>
      <c r="O928" s="245">
        <v>40715428.82</v>
      </c>
    </row>
    <row r="929" spans="1:15" x14ac:dyDescent="0.25">
      <c r="A929" s="256"/>
      <c r="B929" s="235"/>
      <c r="C929" s="236"/>
      <c r="D929" s="236"/>
      <c r="E929" s="236"/>
      <c r="F929" s="236"/>
      <c r="G929" s="236"/>
      <c r="H929" s="236"/>
      <c r="I929" s="236"/>
      <c r="J929" s="236"/>
      <c r="K929" s="236"/>
      <c r="L929" s="236"/>
      <c r="M929" s="236"/>
      <c r="N929" s="236"/>
      <c r="O929" s="236"/>
    </row>
    <row r="930" spans="1:15" x14ac:dyDescent="0.25">
      <c r="A930" s="259"/>
      <c r="B930" s="259" t="s">
        <v>1560</v>
      </c>
      <c r="C930" s="260"/>
      <c r="D930" s="260"/>
      <c r="E930" s="260"/>
      <c r="F930" s="260"/>
      <c r="G930" s="260"/>
      <c r="H930" s="260"/>
      <c r="I930" s="260"/>
      <c r="J930" s="260"/>
      <c r="K930" s="260"/>
      <c r="L930" s="260"/>
      <c r="M930" s="260"/>
      <c r="N930" s="260"/>
      <c r="O930" s="260"/>
    </row>
    <row r="931" spans="1:15" x14ac:dyDescent="0.25">
      <c r="A931" s="239"/>
      <c r="B931" s="239" t="s">
        <v>1457</v>
      </c>
      <c r="C931" s="240"/>
      <c r="D931" s="240"/>
      <c r="E931" s="240"/>
      <c r="F931" s="240"/>
      <c r="G931" s="240"/>
      <c r="H931" s="240"/>
      <c r="I931" s="240"/>
      <c r="J931" s="240"/>
      <c r="K931" s="240"/>
      <c r="L931" s="240"/>
      <c r="M931" s="240"/>
      <c r="N931" s="240"/>
      <c r="O931" s="240"/>
    </row>
    <row r="932" spans="1:15" x14ac:dyDescent="0.25">
      <c r="A932" s="241" t="s">
        <v>1416</v>
      </c>
      <c r="B932" s="241" t="s">
        <v>1458</v>
      </c>
      <c r="C932" s="242">
        <v>289031.99</v>
      </c>
      <c r="D932" s="242">
        <v>307652.87</v>
      </c>
      <c r="E932" s="242">
        <v>610105</v>
      </c>
      <c r="F932" s="242">
        <v>339660.51</v>
      </c>
      <c r="G932" s="242">
        <v>177124.98</v>
      </c>
      <c r="H932" s="242">
        <v>84313.48</v>
      </c>
      <c r="I932" s="242">
        <v>57861.4</v>
      </c>
      <c r="J932" s="242">
        <v>25132.959999999999</v>
      </c>
      <c r="K932" s="242">
        <v>19880.18</v>
      </c>
      <c r="L932" s="242">
        <v>20984.65</v>
      </c>
      <c r="M932" s="242">
        <v>13695.89</v>
      </c>
      <c r="N932" s="242">
        <v>18431.5</v>
      </c>
      <c r="O932" s="242">
        <v>1963875.41</v>
      </c>
    </row>
    <row r="933" spans="1:15" x14ac:dyDescent="0.25">
      <c r="A933" s="241" t="s">
        <v>1429</v>
      </c>
      <c r="B933" s="241" t="s">
        <v>1459</v>
      </c>
      <c r="C933" s="242">
        <v>610440.56000000006</v>
      </c>
      <c r="D933" s="242">
        <v>659067.39</v>
      </c>
      <c r="E933" s="242">
        <v>1974458.5</v>
      </c>
      <c r="F933" s="242">
        <v>2053010.55</v>
      </c>
      <c r="G933" s="242">
        <v>1378085.02</v>
      </c>
      <c r="H933" s="242">
        <v>426987.46</v>
      </c>
      <c r="I933" s="242">
        <v>368177.79</v>
      </c>
      <c r="J933" s="242">
        <v>247149.31</v>
      </c>
      <c r="K933" s="242">
        <v>324662.28999999998</v>
      </c>
      <c r="L933" s="242">
        <v>310815.96999999997</v>
      </c>
      <c r="M933" s="242">
        <v>306211.03999999998</v>
      </c>
      <c r="N933" s="242">
        <v>542920.5</v>
      </c>
      <c r="O933" s="242">
        <v>9201986.3800000008</v>
      </c>
    </row>
    <row r="934" spans="1:15" x14ac:dyDescent="0.25">
      <c r="A934" s="241" t="s">
        <v>1430</v>
      </c>
      <c r="B934" s="241" t="s">
        <v>1460</v>
      </c>
      <c r="C934" s="242">
        <v>77896.710000000006</v>
      </c>
      <c r="D934" s="242">
        <v>261839.16</v>
      </c>
      <c r="E934" s="242">
        <v>183120.62</v>
      </c>
      <c r="F934" s="242">
        <v>845148.43</v>
      </c>
      <c r="G934" s="242">
        <v>19734.939999999999</v>
      </c>
      <c r="H934" s="242">
        <v>48944.02</v>
      </c>
      <c r="I934" s="242">
        <v>24159.439999999999</v>
      </c>
      <c r="J934" s="242">
        <v>50945.86</v>
      </c>
      <c r="K934" s="242">
        <v>33134.44</v>
      </c>
      <c r="L934" s="242">
        <v>38364.19</v>
      </c>
      <c r="M934" s="242">
        <v>95696.53</v>
      </c>
      <c r="N934" s="242">
        <v>72472.399999999994</v>
      </c>
      <c r="O934" s="242">
        <v>1751456.74</v>
      </c>
    </row>
    <row r="935" spans="1:15" x14ac:dyDescent="0.25">
      <c r="A935" s="241" t="s">
        <v>1431</v>
      </c>
      <c r="B935" s="241" t="s">
        <v>1461</v>
      </c>
      <c r="C935" s="242">
        <v>262.52999999999997</v>
      </c>
      <c r="D935" s="242">
        <v>975.42</v>
      </c>
      <c r="E935" s="243"/>
      <c r="F935" s="242">
        <v>715.98</v>
      </c>
      <c r="G935" s="243"/>
      <c r="H935" s="243"/>
      <c r="I935" s="242">
        <v>561.57000000000005</v>
      </c>
      <c r="J935" s="242">
        <v>1007.72</v>
      </c>
      <c r="K935" s="243"/>
      <c r="L935" s="243"/>
      <c r="M935" s="243"/>
      <c r="N935" s="243"/>
      <c r="O935" s="242">
        <v>3523.22</v>
      </c>
    </row>
    <row r="936" spans="1:15" x14ac:dyDescent="0.25">
      <c r="A936" s="241" t="s">
        <v>1432</v>
      </c>
      <c r="B936" s="241" t="s">
        <v>1462</v>
      </c>
      <c r="C936" s="242">
        <v>43.18</v>
      </c>
      <c r="D936" s="242">
        <v>441.54</v>
      </c>
      <c r="E936" s="242">
        <v>5898.36</v>
      </c>
      <c r="F936" s="242">
        <v>7901.06</v>
      </c>
      <c r="G936" s="242">
        <v>1377.92</v>
      </c>
      <c r="H936" s="242">
        <v>-275.97000000000003</v>
      </c>
      <c r="I936" s="242">
        <v>2278.11</v>
      </c>
      <c r="J936" s="242">
        <v>-632.79</v>
      </c>
      <c r="K936" s="242">
        <v>156.19</v>
      </c>
      <c r="L936" s="242">
        <v>-60.64</v>
      </c>
      <c r="M936" s="242">
        <v>1.63</v>
      </c>
      <c r="N936" s="242">
        <v>5.18</v>
      </c>
      <c r="O936" s="242">
        <v>17133.77</v>
      </c>
    </row>
    <row r="937" spans="1:15" x14ac:dyDescent="0.25">
      <c r="A937" s="241" t="s">
        <v>1418</v>
      </c>
      <c r="B937" s="241" t="s">
        <v>1463</v>
      </c>
      <c r="C937" s="242">
        <v>28309.99</v>
      </c>
      <c r="D937" s="242">
        <v>35194.92</v>
      </c>
      <c r="E937" s="242">
        <v>95586.99</v>
      </c>
      <c r="F937" s="242">
        <v>113340.84</v>
      </c>
      <c r="G937" s="242">
        <v>41747.339999999997</v>
      </c>
      <c r="H937" s="242">
        <v>16882.64</v>
      </c>
      <c r="I937" s="242">
        <v>15893.39</v>
      </c>
      <c r="J937" s="242">
        <v>8386.09</v>
      </c>
      <c r="K937" s="242">
        <v>10496.79</v>
      </c>
      <c r="L937" s="242">
        <v>-133.43</v>
      </c>
      <c r="M937" s="243"/>
      <c r="N937" s="242">
        <v>228.55</v>
      </c>
      <c r="O937" s="242">
        <v>365934.11</v>
      </c>
    </row>
    <row r="938" spans="1:15" x14ac:dyDescent="0.25">
      <c r="A938" s="241" t="s">
        <v>1452</v>
      </c>
      <c r="B938" s="241" t="s">
        <v>1464</v>
      </c>
      <c r="C938" s="242">
        <v>17758.5</v>
      </c>
      <c r="D938" s="242">
        <v>7852.5</v>
      </c>
      <c r="E938" s="242">
        <v>19015.5</v>
      </c>
      <c r="F938" s="242">
        <v>136664.15</v>
      </c>
      <c r="G938" s="242">
        <v>26500.35</v>
      </c>
      <c r="H938" s="242">
        <v>1943.8</v>
      </c>
      <c r="I938" s="242">
        <v>1859.5</v>
      </c>
      <c r="J938" s="243"/>
      <c r="K938" s="242">
        <v>1560</v>
      </c>
      <c r="L938" s="243"/>
      <c r="M938" s="243"/>
      <c r="N938" s="243"/>
      <c r="O938" s="242">
        <v>213154.3</v>
      </c>
    </row>
    <row r="939" spans="1:15" x14ac:dyDescent="0.25">
      <c r="A939" s="241" t="s">
        <v>1433</v>
      </c>
      <c r="B939" s="241" t="s">
        <v>1465</v>
      </c>
      <c r="C939" s="242">
        <v>1119.3900000000001</v>
      </c>
      <c r="D939" s="242">
        <v>4364.78</v>
      </c>
      <c r="E939" s="242">
        <v>62935.67</v>
      </c>
      <c r="F939" s="242">
        <v>20693.599999999999</v>
      </c>
      <c r="G939" s="242">
        <v>15378.58</v>
      </c>
      <c r="H939" s="242">
        <v>6038.04</v>
      </c>
      <c r="I939" s="242">
        <v>2178.87</v>
      </c>
      <c r="J939" s="242">
        <v>-15.31</v>
      </c>
      <c r="K939" s="242">
        <v>1323.37</v>
      </c>
      <c r="L939" s="242">
        <v>2807.15</v>
      </c>
      <c r="M939" s="242">
        <v>-324.33999999999997</v>
      </c>
      <c r="N939" s="242">
        <v>242.1</v>
      </c>
      <c r="O939" s="242">
        <v>116741.9</v>
      </c>
    </row>
    <row r="940" spans="1:15" x14ac:dyDescent="0.25">
      <c r="A940" s="241" t="s">
        <v>1434</v>
      </c>
      <c r="B940" s="241" t="s">
        <v>1466</v>
      </c>
      <c r="C940" s="242">
        <v>91.54</v>
      </c>
      <c r="D940" s="242">
        <v>1409.27</v>
      </c>
      <c r="E940" s="242">
        <v>6046.87</v>
      </c>
      <c r="F940" s="242">
        <v>18538.939999999999</v>
      </c>
      <c r="G940" s="242">
        <v>5765.04</v>
      </c>
      <c r="H940" s="242">
        <v>709.94</v>
      </c>
      <c r="I940" s="242">
        <v>1511.76</v>
      </c>
      <c r="J940" s="242">
        <v>608.04</v>
      </c>
      <c r="K940" s="242">
        <v>206.57</v>
      </c>
      <c r="L940" s="242">
        <v>435.79</v>
      </c>
      <c r="M940" s="242">
        <v>956.5</v>
      </c>
      <c r="N940" s="242">
        <v>39.08</v>
      </c>
      <c r="O940" s="242">
        <v>36319.339999999997</v>
      </c>
    </row>
    <row r="941" spans="1:15" x14ac:dyDescent="0.25">
      <c r="A941" s="241" t="s">
        <v>1435</v>
      </c>
      <c r="B941" s="241" t="s">
        <v>1467</v>
      </c>
      <c r="C941" s="242">
        <v>310.76</v>
      </c>
      <c r="D941" s="242">
        <v>1465.9</v>
      </c>
      <c r="E941" s="242">
        <v>24189.82</v>
      </c>
      <c r="F941" s="242">
        <v>13673.02</v>
      </c>
      <c r="G941" s="242">
        <v>6750.9</v>
      </c>
      <c r="H941" s="242">
        <v>413.39</v>
      </c>
      <c r="I941" s="242">
        <v>543.04</v>
      </c>
      <c r="J941" s="242">
        <v>961.34</v>
      </c>
      <c r="K941" s="242">
        <v>224.59</v>
      </c>
      <c r="L941" s="242">
        <v>305.24</v>
      </c>
      <c r="M941" s="242">
        <v>333</v>
      </c>
      <c r="N941" s="242">
        <v>185.53</v>
      </c>
      <c r="O941" s="242">
        <v>49356.53</v>
      </c>
    </row>
    <row r="942" spans="1:15" x14ac:dyDescent="0.25">
      <c r="A942" s="241" t="s">
        <v>1436</v>
      </c>
      <c r="B942" s="241" t="s">
        <v>1468</v>
      </c>
      <c r="C942" s="242">
        <v>26741.01</v>
      </c>
      <c r="D942" s="242">
        <v>17459.59</v>
      </c>
      <c r="E942" s="242">
        <v>83609.56</v>
      </c>
      <c r="F942" s="242">
        <v>102868.56</v>
      </c>
      <c r="G942" s="242">
        <v>66480.95</v>
      </c>
      <c r="H942" s="242">
        <v>51845.440000000002</v>
      </c>
      <c r="I942" s="242">
        <v>32617.53</v>
      </c>
      <c r="J942" s="242">
        <v>-8964.8700000000008</v>
      </c>
      <c r="K942" s="242">
        <v>4793.26</v>
      </c>
      <c r="L942" s="242">
        <v>-606.41</v>
      </c>
      <c r="M942" s="242">
        <v>-265.39999999999998</v>
      </c>
      <c r="N942" s="242">
        <v>3383.48</v>
      </c>
      <c r="O942" s="242">
        <v>379962.7</v>
      </c>
    </row>
    <row r="943" spans="1:15" x14ac:dyDescent="0.25">
      <c r="A943" s="241" t="s">
        <v>1437</v>
      </c>
      <c r="B943" s="241" t="s">
        <v>1469</v>
      </c>
      <c r="C943" s="242">
        <v>21828.97</v>
      </c>
      <c r="D943" s="242">
        <v>18858.86</v>
      </c>
      <c r="E943" s="242">
        <v>59188.4</v>
      </c>
      <c r="F943" s="242">
        <v>116405.49</v>
      </c>
      <c r="G943" s="242">
        <v>70465.72</v>
      </c>
      <c r="H943" s="242">
        <v>50851.8</v>
      </c>
      <c r="I943" s="242">
        <v>7607.63</v>
      </c>
      <c r="J943" s="242">
        <v>2187.1799999999998</v>
      </c>
      <c r="K943" s="242">
        <v>7426.81</v>
      </c>
      <c r="L943" s="242">
        <v>4636.6499999999996</v>
      </c>
      <c r="M943" s="242">
        <v>5244.42</v>
      </c>
      <c r="N943" s="242">
        <v>7291.07</v>
      </c>
      <c r="O943" s="242">
        <v>371993</v>
      </c>
    </row>
    <row r="944" spans="1:15" x14ac:dyDescent="0.25">
      <c r="A944" s="241" t="s">
        <v>1438</v>
      </c>
      <c r="B944" s="241" t="s">
        <v>1470</v>
      </c>
      <c r="C944" s="242">
        <v>9697.66</v>
      </c>
      <c r="D944" s="242">
        <v>-855.25</v>
      </c>
      <c r="E944" s="242">
        <v>14767.18</v>
      </c>
      <c r="F944" s="242">
        <v>50307.42</v>
      </c>
      <c r="G944" s="242">
        <v>16491.689999999999</v>
      </c>
      <c r="H944" s="242">
        <v>5631.43</v>
      </c>
      <c r="I944" s="242">
        <v>4769.67</v>
      </c>
      <c r="J944" s="242">
        <v>-2063.4699999999998</v>
      </c>
      <c r="K944" s="242">
        <v>582.80999999999995</v>
      </c>
      <c r="L944" s="242">
        <v>314</v>
      </c>
      <c r="M944" s="242">
        <v>-193.3</v>
      </c>
      <c r="N944" s="242">
        <v>2839.48</v>
      </c>
      <c r="O944" s="242">
        <v>102289.32</v>
      </c>
    </row>
    <row r="945" spans="1:15" x14ac:dyDescent="0.25">
      <c r="A945" s="241" t="s">
        <v>1439</v>
      </c>
      <c r="B945" s="241" t="s">
        <v>1471</v>
      </c>
      <c r="C945" s="242">
        <v>1956.09</v>
      </c>
      <c r="D945" s="242">
        <v>4483.67</v>
      </c>
      <c r="E945" s="242">
        <v>5954.68</v>
      </c>
      <c r="F945" s="242">
        <v>14873.72</v>
      </c>
      <c r="G945" s="242">
        <v>-409.7</v>
      </c>
      <c r="H945" s="242">
        <v>4839.58</v>
      </c>
      <c r="I945" s="242">
        <v>-36.85</v>
      </c>
      <c r="J945" s="242">
        <v>6.94</v>
      </c>
      <c r="K945" s="242">
        <v>5.9</v>
      </c>
      <c r="L945" s="242">
        <v>413.2</v>
      </c>
      <c r="M945" s="242">
        <v>-158.15</v>
      </c>
      <c r="N945" s="242">
        <v>1.47</v>
      </c>
      <c r="O945" s="242">
        <v>31930.55</v>
      </c>
    </row>
    <row r="946" spans="1:15" x14ac:dyDescent="0.25">
      <c r="A946" s="241" t="s">
        <v>1422</v>
      </c>
      <c r="B946" s="241" t="s">
        <v>1472</v>
      </c>
      <c r="C946" s="242">
        <v>329725.32</v>
      </c>
      <c r="D946" s="242">
        <v>74107.28</v>
      </c>
      <c r="E946" s="242">
        <v>104239.2</v>
      </c>
      <c r="F946" s="242">
        <v>115405.98</v>
      </c>
      <c r="G946" s="242">
        <v>68024.56</v>
      </c>
      <c r="H946" s="242">
        <v>69215.88</v>
      </c>
      <c r="I946" s="242">
        <v>39284.74</v>
      </c>
      <c r="J946" s="242">
        <v>90200.6</v>
      </c>
      <c r="K946" s="242">
        <v>61623.65</v>
      </c>
      <c r="L946" s="242">
        <v>24780.17</v>
      </c>
      <c r="M946" s="242">
        <v>41573.870000000003</v>
      </c>
      <c r="N946" s="242">
        <v>39165.83</v>
      </c>
      <c r="O946" s="242">
        <v>1057347.08</v>
      </c>
    </row>
    <row r="947" spans="1:15" x14ac:dyDescent="0.25">
      <c r="A947" s="241" t="s">
        <v>1477</v>
      </c>
      <c r="B947" s="241" t="s">
        <v>1484</v>
      </c>
      <c r="C947" s="242">
        <v>-2790.32</v>
      </c>
      <c r="D947" s="242">
        <v>108886.25</v>
      </c>
      <c r="E947" s="242">
        <v>90783.4</v>
      </c>
      <c r="F947" s="242">
        <v>134059</v>
      </c>
      <c r="G947" s="242">
        <v>39589</v>
      </c>
      <c r="H947" s="242">
        <v>85419.76</v>
      </c>
      <c r="I947" s="242">
        <v>92746.12</v>
      </c>
      <c r="J947" s="242">
        <v>27165</v>
      </c>
      <c r="K947" s="242">
        <v>55505</v>
      </c>
      <c r="L947" s="242">
        <v>6740</v>
      </c>
      <c r="M947" s="242">
        <v>41185</v>
      </c>
      <c r="N947" s="242">
        <v>77795</v>
      </c>
      <c r="O947" s="242">
        <v>757083.21</v>
      </c>
    </row>
    <row r="948" spans="1:15" x14ac:dyDescent="0.25">
      <c r="A948" s="241" t="s">
        <v>1481</v>
      </c>
      <c r="B948" s="241" t="s">
        <v>1485</v>
      </c>
      <c r="C948" s="242">
        <v>60412.61</v>
      </c>
      <c r="D948" s="242">
        <v>546944.13</v>
      </c>
      <c r="E948" s="242">
        <v>435831.81</v>
      </c>
      <c r="F948" s="242">
        <v>119338.56</v>
      </c>
      <c r="G948" s="242">
        <v>107787.92</v>
      </c>
      <c r="H948" s="242">
        <v>284932.13</v>
      </c>
      <c r="I948" s="242">
        <v>116620.01</v>
      </c>
      <c r="J948" s="242">
        <v>202015</v>
      </c>
      <c r="K948" s="242">
        <v>94577.27</v>
      </c>
      <c r="L948" s="242">
        <v>58830</v>
      </c>
      <c r="M948" s="242">
        <v>167486.54999999999</v>
      </c>
      <c r="N948" s="242">
        <v>217175.1</v>
      </c>
      <c r="O948" s="242">
        <v>2411951.09</v>
      </c>
    </row>
    <row r="949" spans="1:15" x14ac:dyDescent="0.25">
      <c r="A949" s="241" t="s">
        <v>1499</v>
      </c>
      <c r="B949" s="241" t="s">
        <v>1506</v>
      </c>
      <c r="C949" s="243"/>
      <c r="D949" s="243"/>
      <c r="E949" s="242">
        <v>8983.7000000000007</v>
      </c>
      <c r="F949" s="242">
        <v>1072850.1499999999</v>
      </c>
      <c r="G949" s="243"/>
      <c r="H949" s="243"/>
      <c r="I949" s="242">
        <v>-601.94000000000005</v>
      </c>
      <c r="J949" s="242">
        <v>601.94000000000005</v>
      </c>
      <c r="K949" s="242">
        <v>4158</v>
      </c>
      <c r="L949" s="243"/>
      <c r="M949" s="243"/>
      <c r="N949" s="243"/>
      <c r="O949" s="242">
        <v>1085991.8500000001</v>
      </c>
    </row>
    <row r="950" spans="1:15" x14ac:dyDescent="0.25">
      <c r="A950" s="241" t="s">
        <v>1501</v>
      </c>
      <c r="B950" s="241" t="s">
        <v>1502</v>
      </c>
      <c r="C950" s="243"/>
      <c r="D950" s="243"/>
      <c r="E950" s="242">
        <v>509172.74</v>
      </c>
      <c r="F950" s="242">
        <v>-133605.9</v>
      </c>
      <c r="G950" s="242">
        <v>139262.93</v>
      </c>
      <c r="H950" s="242">
        <v>39295.18</v>
      </c>
      <c r="I950" s="242">
        <v>64595.39</v>
      </c>
      <c r="J950" s="242">
        <v>12133.94</v>
      </c>
      <c r="K950" s="242">
        <v>64335.97</v>
      </c>
      <c r="L950" s="242">
        <v>20565.36</v>
      </c>
      <c r="M950" s="242">
        <v>36.08</v>
      </c>
      <c r="N950" s="242">
        <v>16498.45</v>
      </c>
      <c r="O950" s="242">
        <v>732290.14</v>
      </c>
    </row>
    <row r="951" spans="1:15" x14ac:dyDescent="0.25">
      <c r="A951" s="241" t="s">
        <v>1503</v>
      </c>
      <c r="B951" s="241" t="s">
        <v>1507</v>
      </c>
      <c r="C951" s="243"/>
      <c r="D951" s="243"/>
      <c r="E951" s="242">
        <v>740678.75</v>
      </c>
      <c r="F951" s="242">
        <v>500306.08</v>
      </c>
      <c r="G951" s="242">
        <v>9792.5</v>
      </c>
      <c r="H951" s="242">
        <v>4900</v>
      </c>
      <c r="I951" s="242">
        <v>61.25</v>
      </c>
      <c r="J951" s="242">
        <v>4897.5</v>
      </c>
      <c r="K951" s="242">
        <v>63790.98</v>
      </c>
      <c r="L951" s="242">
        <v>5224.7299999999996</v>
      </c>
      <c r="M951" s="242">
        <v>76651.25</v>
      </c>
      <c r="N951" s="242">
        <v>82592.5</v>
      </c>
      <c r="O951" s="242">
        <v>1488895.54</v>
      </c>
    </row>
    <row r="952" spans="1:15" x14ac:dyDescent="0.25">
      <c r="A952" s="241" t="s">
        <v>1473</v>
      </c>
      <c r="B952" s="241" t="s">
        <v>1441</v>
      </c>
      <c r="C952" s="242">
        <v>61058.45</v>
      </c>
      <c r="D952" s="242">
        <v>75703.45</v>
      </c>
      <c r="E952" s="242">
        <v>147439.29999999999</v>
      </c>
      <c r="F952" s="242">
        <v>222833.18</v>
      </c>
      <c r="G952" s="242">
        <v>117512.85</v>
      </c>
      <c r="H952" s="242">
        <v>66843.710000000006</v>
      </c>
      <c r="I952" s="242">
        <v>41052.51</v>
      </c>
      <c r="J952" s="242">
        <v>29171.29</v>
      </c>
      <c r="K952" s="242">
        <v>23542.21</v>
      </c>
      <c r="L952" s="242">
        <v>23186.19</v>
      </c>
      <c r="M952" s="242">
        <v>28225.4</v>
      </c>
      <c r="N952" s="242">
        <v>27735.95</v>
      </c>
      <c r="O952" s="242">
        <v>864304.49</v>
      </c>
    </row>
    <row r="953" spans="1:15" x14ac:dyDescent="0.25">
      <c r="A953" s="241" t="s">
        <v>1474</v>
      </c>
      <c r="B953" s="241" t="s">
        <v>1475</v>
      </c>
      <c r="C953" s="242">
        <v>45837.26</v>
      </c>
      <c r="D953" s="242">
        <v>279357.18</v>
      </c>
      <c r="E953" s="242">
        <v>242511.07</v>
      </c>
      <c r="F953" s="242">
        <v>232065.23</v>
      </c>
      <c r="G953" s="242">
        <v>68122.759999999995</v>
      </c>
      <c r="H953" s="242">
        <v>-24185.16</v>
      </c>
      <c r="I953" s="242">
        <v>-3258.04</v>
      </c>
      <c r="J953" s="242">
        <v>5319.7</v>
      </c>
      <c r="K953" s="242">
        <v>18457.79</v>
      </c>
      <c r="L953" s="242">
        <v>-70492.479999999996</v>
      </c>
      <c r="M953" s="242">
        <v>30604.52</v>
      </c>
      <c r="N953" s="242">
        <v>6106.13</v>
      </c>
      <c r="O953" s="242">
        <v>830445.96</v>
      </c>
    </row>
    <row r="954" spans="1:15" x14ac:dyDescent="0.25">
      <c r="A954" s="239"/>
      <c r="B954" s="239" t="s">
        <v>1476</v>
      </c>
      <c r="C954" s="245">
        <v>1579732.2</v>
      </c>
      <c r="D954" s="245">
        <v>2405208.91</v>
      </c>
      <c r="E954" s="245">
        <v>5424517.1200000001</v>
      </c>
      <c r="F954" s="245">
        <v>6097054.5499999998</v>
      </c>
      <c r="G954" s="245">
        <v>2375586.25</v>
      </c>
      <c r="H954" s="245">
        <v>1225546.55</v>
      </c>
      <c r="I954" s="245">
        <v>870482.89</v>
      </c>
      <c r="J954" s="245">
        <v>696213.97</v>
      </c>
      <c r="K954" s="245">
        <v>790444.07</v>
      </c>
      <c r="L954" s="245">
        <v>447110.33</v>
      </c>
      <c r="M954" s="245">
        <v>806960.49</v>
      </c>
      <c r="N954" s="245">
        <v>1115109.3</v>
      </c>
      <c r="O954" s="245">
        <v>23833966.629999999</v>
      </c>
    </row>
  </sheetData>
  <mergeCells count="6">
    <mergeCell ref="A6:O6"/>
    <mergeCell ref="A1:O1"/>
    <mergeCell ref="A2:O2"/>
    <mergeCell ref="A3:O3"/>
    <mergeCell ref="A4:O4"/>
    <mergeCell ref="A5:O5"/>
  </mergeCells>
  <printOptions horizontalCentered="1"/>
  <pageMargins left="0.25" right="0.25" top="0.25" bottom="0.25" header="0.03" footer="0.03"/>
  <pageSetup orientation="landscape" cellComments="atEnd" r:id="rId1"/>
  <customProperties>
    <customPr name="EpmWorksheetKeyString_GU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O533"/>
  <sheetViews>
    <sheetView workbookViewId="0">
      <pane ySplit="9" topLeftCell="A10" activePane="bottomLeft" state="frozen"/>
      <selection activeCell="A10" sqref="A10"/>
      <selection pane="bottomLeft" activeCell="A10" sqref="A10"/>
    </sheetView>
  </sheetViews>
  <sheetFormatPr defaultRowHeight="15" x14ac:dyDescent="0.25"/>
  <cols>
    <col min="1" max="1" width="20.85546875" customWidth="1"/>
    <col min="2" max="2" width="41.5703125" customWidth="1"/>
    <col min="3" max="3" width="10.42578125" customWidth="1"/>
    <col min="4" max="5" width="11.7109375" customWidth="1"/>
    <col min="6" max="6" width="10.42578125" customWidth="1"/>
    <col min="7" max="7" width="8.85546875" customWidth="1"/>
    <col min="8" max="8" width="9.28515625" customWidth="1"/>
    <col min="9" max="14" width="8.85546875" customWidth="1"/>
    <col min="15" max="15" width="11.7109375" customWidth="1"/>
  </cols>
  <sheetData>
    <row r="1" spans="1:15" ht="15.75" x14ac:dyDescent="0.25">
      <c r="A1" s="265" t="s">
        <v>556</v>
      </c>
      <c r="B1" s="265"/>
      <c r="C1" s="265"/>
      <c r="D1" s="265"/>
      <c r="E1" s="265"/>
      <c r="F1" s="265"/>
      <c r="G1" s="265"/>
      <c r="H1" s="265"/>
      <c r="I1" s="265"/>
      <c r="J1" s="265"/>
      <c r="K1" s="265"/>
      <c r="L1" s="265"/>
      <c r="M1" s="265"/>
      <c r="N1" s="265"/>
      <c r="O1" s="265"/>
    </row>
    <row r="2" spans="1:15" x14ac:dyDescent="0.25">
      <c r="A2" s="264" t="s">
        <v>1603</v>
      </c>
      <c r="B2" s="264"/>
      <c r="C2" s="264"/>
      <c r="D2" s="264"/>
      <c r="E2" s="264"/>
      <c r="F2" s="264"/>
      <c r="G2" s="264"/>
      <c r="H2" s="264"/>
      <c r="I2" s="264"/>
      <c r="J2" s="264"/>
      <c r="K2" s="264"/>
      <c r="L2" s="264"/>
      <c r="M2" s="264"/>
      <c r="N2" s="264"/>
      <c r="O2" s="264"/>
    </row>
    <row r="3" spans="1:15" x14ac:dyDescent="0.25">
      <c r="A3" s="264" t="s">
        <v>1392</v>
      </c>
      <c r="B3" s="264"/>
      <c r="C3" s="264"/>
      <c r="D3" s="264"/>
      <c r="E3" s="264"/>
      <c r="F3" s="264"/>
      <c r="G3" s="264"/>
      <c r="H3" s="264"/>
      <c r="I3" s="264"/>
      <c r="J3" s="264"/>
      <c r="K3" s="264"/>
      <c r="L3" s="264"/>
      <c r="M3" s="264"/>
      <c r="N3" s="264"/>
      <c r="O3" s="264"/>
    </row>
    <row r="4" spans="1:15" x14ac:dyDescent="0.25">
      <c r="A4" s="264" t="s">
        <v>1634</v>
      </c>
      <c r="B4" s="264"/>
      <c r="C4" s="264"/>
      <c r="D4" s="264"/>
      <c r="E4" s="264"/>
      <c r="F4" s="264"/>
      <c r="G4" s="264"/>
      <c r="H4" s="264"/>
      <c r="I4" s="264"/>
      <c r="J4" s="264"/>
      <c r="K4" s="264"/>
      <c r="L4" s="264"/>
      <c r="M4" s="264"/>
      <c r="N4" s="264"/>
      <c r="O4" s="264"/>
    </row>
    <row r="5" spans="1:15" x14ac:dyDescent="0.25">
      <c r="A5" s="264"/>
      <c r="B5" s="264"/>
      <c r="C5" s="264"/>
      <c r="D5" s="264"/>
      <c r="E5" s="264"/>
      <c r="F5" s="264"/>
      <c r="G5" s="264"/>
      <c r="H5" s="264"/>
      <c r="I5" s="264"/>
      <c r="J5" s="264"/>
      <c r="K5" s="264"/>
      <c r="L5" s="264"/>
      <c r="M5" s="264"/>
      <c r="N5" s="264"/>
      <c r="O5" s="264"/>
    </row>
    <row r="6" spans="1:15" x14ac:dyDescent="0.25">
      <c r="A6" s="264"/>
      <c r="B6" s="264"/>
      <c r="C6" s="264"/>
      <c r="D6" s="264"/>
      <c r="E6" s="264"/>
      <c r="F6" s="264"/>
      <c r="G6" s="264"/>
      <c r="H6" s="264"/>
      <c r="I6" s="264"/>
      <c r="J6" s="264"/>
      <c r="K6" s="264"/>
      <c r="L6" s="264"/>
      <c r="M6" s="264"/>
      <c r="N6" s="264"/>
      <c r="O6" s="264"/>
    </row>
    <row r="7" spans="1:15" x14ac:dyDescent="0.25">
      <c r="C7" s="234" t="s">
        <v>560</v>
      </c>
      <c r="D7" s="234" t="s">
        <v>561</v>
      </c>
      <c r="E7" s="234" t="s">
        <v>562</v>
      </c>
      <c r="F7" s="234" t="s">
        <v>563</v>
      </c>
      <c r="G7" s="234" t="s">
        <v>564</v>
      </c>
      <c r="H7" s="234" t="s">
        <v>565</v>
      </c>
      <c r="I7" s="234" t="s">
        <v>566</v>
      </c>
      <c r="J7" s="234" t="s">
        <v>567</v>
      </c>
      <c r="K7" s="234" t="s">
        <v>568</v>
      </c>
      <c r="L7" s="234" t="s">
        <v>557</v>
      </c>
      <c r="M7" s="234" t="s">
        <v>558</v>
      </c>
      <c r="N7" s="234" t="s">
        <v>559</v>
      </c>
      <c r="O7" s="234" t="s">
        <v>569</v>
      </c>
    </row>
    <row r="8" spans="1:15" x14ac:dyDescent="0.25">
      <c r="C8" s="234" t="s">
        <v>1393</v>
      </c>
      <c r="D8" s="234" t="s">
        <v>1393</v>
      </c>
      <c r="E8" s="234" t="s">
        <v>1393</v>
      </c>
      <c r="F8" s="234" t="s">
        <v>1393</v>
      </c>
      <c r="G8" s="234" t="s">
        <v>1517</v>
      </c>
      <c r="H8" s="234" t="s">
        <v>1517</v>
      </c>
      <c r="I8" s="234" t="s">
        <v>1517</v>
      </c>
      <c r="J8" s="234" t="s">
        <v>1517</v>
      </c>
      <c r="K8" s="234" t="s">
        <v>1517</v>
      </c>
      <c r="L8" s="234" t="s">
        <v>1517</v>
      </c>
      <c r="M8" s="234" t="s">
        <v>1517</v>
      </c>
      <c r="N8" s="234" t="s">
        <v>1517</v>
      </c>
      <c r="O8" s="234" t="s">
        <v>570</v>
      </c>
    </row>
    <row r="9" spans="1:15" x14ac:dyDescent="0.25">
      <c r="A9" s="235"/>
      <c r="B9" s="235"/>
      <c r="C9" s="236"/>
      <c r="D9" s="236"/>
      <c r="E9" s="236"/>
      <c r="F9" s="236"/>
      <c r="G9" s="236"/>
      <c r="H9" s="236"/>
      <c r="I9" s="236"/>
      <c r="J9" s="236"/>
      <c r="K9" s="236"/>
      <c r="L9" s="236"/>
      <c r="M9" s="236"/>
      <c r="N9" s="236"/>
      <c r="O9" s="236"/>
    </row>
    <row r="10" spans="1:15" x14ac:dyDescent="0.25">
      <c r="A10" s="237"/>
      <c r="B10" s="237" t="s">
        <v>471</v>
      </c>
      <c r="C10" s="238"/>
      <c r="D10" s="238"/>
      <c r="E10" s="238"/>
      <c r="F10" s="238"/>
      <c r="G10" s="238"/>
      <c r="H10" s="238"/>
      <c r="I10" s="238"/>
      <c r="J10" s="238"/>
      <c r="K10" s="238"/>
      <c r="L10" s="238"/>
      <c r="M10" s="238"/>
      <c r="N10" s="238"/>
      <c r="O10" s="238"/>
    </row>
    <row r="11" spans="1:15" x14ac:dyDescent="0.25">
      <c r="A11" s="235"/>
      <c r="B11" s="235"/>
      <c r="C11" s="236"/>
      <c r="D11" s="236"/>
      <c r="E11" s="236"/>
      <c r="F11" s="236"/>
      <c r="G11" s="236"/>
      <c r="H11" s="236"/>
      <c r="I11" s="236"/>
      <c r="J11" s="236"/>
      <c r="K11" s="236"/>
      <c r="L11" s="236"/>
      <c r="M11" s="236"/>
      <c r="N11" s="236"/>
      <c r="O11" s="236"/>
    </row>
    <row r="12" spans="1:15" x14ac:dyDescent="0.25">
      <c r="A12" s="239"/>
      <c r="B12" s="239" t="s">
        <v>571</v>
      </c>
      <c r="C12" s="240"/>
      <c r="D12" s="240"/>
      <c r="E12" s="240"/>
      <c r="F12" s="240"/>
      <c r="G12" s="240"/>
      <c r="H12" s="240"/>
      <c r="I12" s="240"/>
      <c r="J12" s="240"/>
      <c r="K12" s="240"/>
      <c r="L12" s="240"/>
      <c r="M12" s="240"/>
      <c r="N12" s="240"/>
      <c r="O12" s="240"/>
    </row>
    <row r="13" spans="1:15" x14ac:dyDescent="0.25">
      <c r="A13" s="241" t="s">
        <v>572</v>
      </c>
      <c r="B13" s="241" t="s">
        <v>573</v>
      </c>
      <c r="C13" s="242">
        <v>43885</v>
      </c>
      <c r="D13" s="242">
        <v>38060</v>
      </c>
      <c r="E13" s="242">
        <v>7293.5</v>
      </c>
      <c r="F13" s="243"/>
      <c r="G13" s="243"/>
      <c r="H13" s="243"/>
      <c r="I13" s="243"/>
      <c r="J13" s="243"/>
      <c r="K13" s="243"/>
      <c r="L13" s="243"/>
      <c r="M13" s="243"/>
      <c r="N13" s="243"/>
      <c r="O13" s="242">
        <v>89238.5</v>
      </c>
    </row>
    <row r="14" spans="1:15" x14ac:dyDescent="0.25">
      <c r="A14" s="241" t="s">
        <v>590</v>
      </c>
      <c r="B14" s="241" t="s">
        <v>591</v>
      </c>
      <c r="C14" s="242">
        <v>135</v>
      </c>
      <c r="D14" s="242">
        <v>139.5</v>
      </c>
      <c r="E14" s="243"/>
      <c r="F14" s="243"/>
      <c r="G14" s="243"/>
      <c r="H14" s="243"/>
      <c r="I14" s="243"/>
      <c r="J14" s="243"/>
      <c r="K14" s="243"/>
      <c r="L14" s="243"/>
      <c r="M14" s="243"/>
      <c r="N14" s="243"/>
      <c r="O14" s="242">
        <v>274.5</v>
      </c>
    </row>
    <row r="15" spans="1:15" x14ac:dyDescent="0.25">
      <c r="A15" s="241" t="s">
        <v>600</v>
      </c>
      <c r="B15" s="241" t="s">
        <v>601</v>
      </c>
      <c r="C15" s="244">
        <v>120</v>
      </c>
      <c r="D15" s="244">
        <v>60</v>
      </c>
      <c r="E15" s="246"/>
      <c r="F15" s="246"/>
      <c r="G15" s="246"/>
      <c r="H15" s="246"/>
      <c r="I15" s="246"/>
      <c r="J15" s="246"/>
      <c r="K15" s="246"/>
      <c r="L15" s="246"/>
      <c r="M15" s="246"/>
      <c r="N15" s="246"/>
      <c r="O15" s="244">
        <v>180</v>
      </c>
    </row>
    <row r="16" spans="1:15" x14ac:dyDescent="0.25">
      <c r="A16" s="239"/>
      <c r="B16" s="239" t="s">
        <v>606</v>
      </c>
      <c r="C16" s="245">
        <v>44140</v>
      </c>
      <c r="D16" s="245">
        <v>38259.5</v>
      </c>
      <c r="E16" s="245">
        <v>7293.5</v>
      </c>
      <c r="F16" s="240"/>
      <c r="G16" s="240"/>
      <c r="H16" s="240"/>
      <c r="I16" s="240"/>
      <c r="J16" s="240"/>
      <c r="K16" s="240"/>
      <c r="L16" s="240"/>
      <c r="M16" s="240"/>
      <c r="N16" s="240"/>
      <c r="O16" s="245">
        <v>89693</v>
      </c>
    </row>
    <row r="17" spans="1:15" x14ac:dyDescent="0.25">
      <c r="A17" s="235"/>
      <c r="B17" s="235"/>
      <c r="C17" s="236"/>
      <c r="D17" s="236"/>
      <c r="E17" s="236"/>
      <c r="F17" s="236"/>
      <c r="G17" s="236"/>
      <c r="H17" s="236"/>
      <c r="I17" s="236"/>
      <c r="J17" s="236"/>
      <c r="K17" s="236"/>
      <c r="L17" s="236"/>
      <c r="M17" s="236"/>
      <c r="N17" s="236"/>
      <c r="O17" s="236"/>
    </row>
    <row r="18" spans="1:15" x14ac:dyDescent="0.25">
      <c r="A18" s="239"/>
      <c r="B18" s="239" t="s">
        <v>607</v>
      </c>
      <c r="C18" s="240"/>
      <c r="D18" s="240"/>
      <c r="E18" s="240"/>
      <c r="F18" s="240"/>
      <c r="G18" s="240"/>
      <c r="H18" s="240"/>
      <c r="I18" s="240"/>
      <c r="J18" s="240"/>
      <c r="K18" s="240"/>
      <c r="L18" s="240"/>
      <c r="M18" s="240"/>
      <c r="N18" s="240"/>
      <c r="O18" s="240"/>
    </row>
    <row r="19" spans="1:15" x14ac:dyDescent="0.25">
      <c r="A19" s="241" t="s">
        <v>608</v>
      </c>
      <c r="B19" s="241" t="s">
        <v>573</v>
      </c>
      <c r="C19" s="242">
        <v>14085</v>
      </c>
      <c r="D19" s="242">
        <v>50320</v>
      </c>
      <c r="E19" s="242">
        <v>15991</v>
      </c>
      <c r="F19" s="243"/>
      <c r="G19" s="243"/>
      <c r="H19" s="243"/>
      <c r="I19" s="243"/>
      <c r="J19" s="243"/>
      <c r="K19" s="243"/>
      <c r="L19" s="243"/>
      <c r="M19" s="243"/>
      <c r="N19" s="243"/>
      <c r="O19" s="242">
        <v>80396</v>
      </c>
    </row>
    <row r="20" spans="1:15" x14ac:dyDescent="0.25">
      <c r="A20" s="241" t="s">
        <v>610</v>
      </c>
      <c r="B20" s="241" t="s">
        <v>577</v>
      </c>
      <c r="C20" s="242">
        <v>2688.13</v>
      </c>
      <c r="D20" s="242">
        <v>5719.78</v>
      </c>
      <c r="E20" s="242">
        <v>1816.47</v>
      </c>
      <c r="F20" s="243"/>
      <c r="G20" s="243"/>
      <c r="H20" s="243"/>
      <c r="I20" s="243"/>
      <c r="J20" s="243"/>
      <c r="K20" s="243"/>
      <c r="L20" s="243"/>
      <c r="M20" s="243"/>
      <c r="N20" s="243"/>
      <c r="O20" s="242">
        <v>10224.379999999999</v>
      </c>
    </row>
    <row r="21" spans="1:15" x14ac:dyDescent="0.25">
      <c r="A21" s="241" t="s">
        <v>611</v>
      </c>
      <c r="B21" s="241" t="s">
        <v>579</v>
      </c>
      <c r="C21" s="243"/>
      <c r="D21" s="242">
        <v>667.5</v>
      </c>
      <c r="E21" s="243"/>
      <c r="F21" s="243"/>
      <c r="G21" s="243"/>
      <c r="H21" s="243"/>
      <c r="I21" s="243"/>
      <c r="J21" s="243"/>
      <c r="K21" s="243"/>
      <c r="L21" s="243"/>
      <c r="M21" s="243"/>
      <c r="N21" s="243"/>
      <c r="O21" s="242">
        <v>667.5</v>
      </c>
    </row>
    <row r="22" spans="1:15" x14ac:dyDescent="0.25">
      <c r="A22" s="241" t="s">
        <v>612</v>
      </c>
      <c r="B22" s="241" t="s">
        <v>581</v>
      </c>
      <c r="C22" s="243"/>
      <c r="D22" s="242">
        <v>107.42</v>
      </c>
      <c r="E22" s="243"/>
      <c r="F22" s="243"/>
      <c r="G22" s="243"/>
      <c r="H22" s="243"/>
      <c r="I22" s="243"/>
      <c r="J22" s="243"/>
      <c r="K22" s="243"/>
      <c r="L22" s="243"/>
      <c r="M22" s="243"/>
      <c r="N22" s="243"/>
      <c r="O22" s="242">
        <v>107.42</v>
      </c>
    </row>
    <row r="23" spans="1:15" x14ac:dyDescent="0.25">
      <c r="A23" s="241" t="s">
        <v>613</v>
      </c>
      <c r="B23" s="241" t="s">
        <v>585</v>
      </c>
      <c r="C23" s="242">
        <v>5196.22</v>
      </c>
      <c r="D23" s="242">
        <v>7796.36</v>
      </c>
      <c r="E23" s="242">
        <v>6365.9</v>
      </c>
      <c r="F23" s="243"/>
      <c r="G23" s="243"/>
      <c r="H23" s="243"/>
      <c r="I23" s="243"/>
      <c r="J23" s="243"/>
      <c r="K23" s="243"/>
      <c r="L23" s="243"/>
      <c r="M23" s="243"/>
      <c r="N23" s="243"/>
      <c r="O23" s="242">
        <v>19358.48</v>
      </c>
    </row>
    <row r="24" spans="1:15" x14ac:dyDescent="0.25">
      <c r="A24" s="241" t="s">
        <v>614</v>
      </c>
      <c r="B24" s="241" t="s">
        <v>587</v>
      </c>
      <c r="C24" s="242">
        <v>1213.48</v>
      </c>
      <c r="D24" s="242">
        <v>2513.88</v>
      </c>
      <c r="E24" s="242">
        <v>339.68</v>
      </c>
      <c r="F24" s="243"/>
      <c r="G24" s="243"/>
      <c r="H24" s="243"/>
      <c r="I24" s="243"/>
      <c r="J24" s="243"/>
      <c r="K24" s="243"/>
      <c r="L24" s="243"/>
      <c r="M24" s="243"/>
      <c r="N24" s="243"/>
      <c r="O24" s="242">
        <v>4067.04</v>
      </c>
    </row>
    <row r="25" spans="1:15" x14ac:dyDescent="0.25">
      <c r="A25" s="241" t="s">
        <v>615</v>
      </c>
      <c r="B25" s="241" t="s">
        <v>589</v>
      </c>
      <c r="C25" s="242">
        <v>8701.24</v>
      </c>
      <c r="D25" s="242">
        <v>7146.78</v>
      </c>
      <c r="E25" s="242">
        <v>8449.9599999999991</v>
      </c>
      <c r="F25" s="243"/>
      <c r="G25" s="243"/>
      <c r="H25" s="243"/>
      <c r="I25" s="243"/>
      <c r="J25" s="243"/>
      <c r="K25" s="243"/>
      <c r="L25" s="243"/>
      <c r="M25" s="243"/>
      <c r="N25" s="243"/>
      <c r="O25" s="242">
        <v>24297.98</v>
      </c>
    </row>
    <row r="26" spans="1:15" x14ac:dyDescent="0.25">
      <c r="A26" s="241" t="s">
        <v>616</v>
      </c>
      <c r="B26" s="241" t="s">
        <v>591</v>
      </c>
      <c r="C26" s="242">
        <v>1350</v>
      </c>
      <c r="D26" s="242">
        <v>1665</v>
      </c>
      <c r="E26" s="243"/>
      <c r="F26" s="243"/>
      <c r="G26" s="243"/>
      <c r="H26" s="243"/>
      <c r="I26" s="243"/>
      <c r="J26" s="243"/>
      <c r="K26" s="243"/>
      <c r="L26" s="243"/>
      <c r="M26" s="243"/>
      <c r="N26" s="243"/>
      <c r="O26" s="242">
        <v>3015</v>
      </c>
    </row>
    <row r="27" spans="1:15" x14ac:dyDescent="0.25">
      <c r="A27" s="241" t="s">
        <v>618</v>
      </c>
      <c r="B27" s="241" t="s">
        <v>596</v>
      </c>
      <c r="C27" s="242">
        <v>161.22999999999999</v>
      </c>
      <c r="D27" s="242">
        <v>174.16</v>
      </c>
      <c r="E27" s="242">
        <v>67.540000000000006</v>
      </c>
      <c r="F27" s="243"/>
      <c r="G27" s="243"/>
      <c r="H27" s="243"/>
      <c r="I27" s="243"/>
      <c r="J27" s="243"/>
      <c r="K27" s="243"/>
      <c r="L27" s="243"/>
      <c r="M27" s="243"/>
      <c r="N27" s="243"/>
      <c r="O27" s="242">
        <v>402.93</v>
      </c>
    </row>
    <row r="28" spans="1:15" x14ac:dyDescent="0.25">
      <c r="A28" s="241" t="s">
        <v>619</v>
      </c>
      <c r="B28" s="241" t="s">
        <v>599</v>
      </c>
      <c r="C28" s="243"/>
      <c r="D28" s="242">
        <v>317.72000000000003</v>
      </c>
      <c r="E28" s="243"/>
      <c r="F28" s="243"/>
      <c r="G28" s="243"/>
      <c r="H28" s="243"/>
      <c r="I28" s="243"/>
      <c r="J28" s="243"/>
      <c r="K28" s="243"/>
      <c r="L28" s="243"/>
      <c r="M28" s="243"/>
      <c r="N28" s="243"/>
      <c r="O28" s="242">
        <v>317.72000000000003</v>
      </c>
    </row>
    <row r="29" spans="1:15" x14ac:dyDescent="0.25">
      <c r="A29" s="241" t="s">
        <v>620</v>
      </c>
      <c r="B29" s="241" t="s">
        <v>601</v>
      </c>
      <c r="C29" s="242">
        <v>18605.23</v>
      </c>
      <c r="D29" s="242">
        <v>92749.39</v>
      </c>
      <c r="E29" s="242">
        <v>18512.87</v>
      </c>
      <c r="F29" s="243"/>
      <c r="G29" s="243"/>
      <c r="H29" s="243"/>
      <c r="I29" s="243"/>
      <c r="J29" s="243"/>
      <c r="K29" s="243"/>
      <c r="L29" s="243"/>
      <c r="M29" s="243"/>
      <c r="N29" s="243"/>
      <c r="O29" s="242">
        <v>129867.49</v>
      </c>
    </row>
    <row r="30" spans="1:15" x14ac:dyDescent="0.25">
      <c r="A30" s="241" t="s">
        <v>621</v>
      </c>
      <c r="B30" s="241" t="s">
        <v>603</v>
      </c>
      <c r="C30" s="242">
        <v>-4199.3599999999997</v>
      </c>
      <c r="D30" s="242">
        <v>-8651.58</v>
      </c>
      <c r="E30" s="242">
        <v>-1884.01</v>
      </c>
      <c r="F30" s="243"/>
      <c r="G30" s="243"/>
      <c r="H30" s="243"/>
      <c r="I30" s="243"/>
      <c r="J30" s="243"/>
      <c r="K30" s="243"/>
      <c r="L30" s="243"/>
      <c r="M30" s="243"/>
      <c r="N30" s="243"/>
      <c r="O30" s="242">
        <v>-14734.95</v>
      </c>
    </row>
    <row r="31" spans="1:15" x14ac:dyDescent="0.25">
      <c r="A31" s="241" t="s">
        <v>622</v>
      </c>
      <c r="B31" s="241" t="s">
        <v>623</v>
      </c>
      <c r="C31" s="242">
        <v>-15110.94</v>
      </c>
      <c r="D31" s="242">
        <v>-17457.02</v>
      </c>
      <c r="E31" s="242">
        <v>-15155.54</v>
      </c>
      <c r="F31" s="243"/>
      <c r="G31" s="243"/>
      <c r="H31" s="243"/>
      <c r="I31" s="243"/>
      <c r="J31" s="243"/>
      <c r="K31" s="243"/>
      <c r="L31" s="243"/>
      <c r="M31" s="243"/>
      <c r="N31" s="243"/>
      <c r="O31" s="242">
        <v>-47723.5</v>
      </c>
    </row>
    <row r="32" spans="1:15" x14ac:dyDescent="0.25">
      <c r="A32" s="241" t="s">
        <v>628</v>
      </c>
      <c r="B32" s="241" t="s">
        <v>629</v>
      </c>
      <c r="C32" s="242">
        <v>-1108.8</v>
      </c>
      <c r="D32" s="242">
        <v>-1786.4</v>
      </c>
      <c r="E32" s="242">
        <v>-2156</v>
      </c>
      <c r="F32" s="243"/>
      <c r="G32" s="243"/>
      <c r="H32" s="243"/>
      <c r="I32" s="243"/>
      <c r="J32" s="243"/>
      <c r="K32" s="243"/>
      <c r="L32" s="243"/>
      <c r="M32" s="243"/>
      <c r="N32" s="243"/>
      <c r="O32" s="242">
        <v>-5051.2</v>
      </c>
    </row>
    <row r="33" spans="1:15" x14ac:dyDescent="0.25">
      <c r="A33" s="241" t="s">
        <v>630</v>
      </c>
      <c r="B33" s="241" t="s">
        <v>605</v>
      </c>
      <c r="C33" s="244">
        <v>6699.73</v>
      </c>
      <c r="D33" s="244">
        <v>-10770.73</v>
      </c>
      <c r="E33" s="244">
        <v>-711</v>
      </c>
      <c r="F33" s="246"/>
      <c r="G33" s="246"/>
      <c r="H33" s="246"/>
      <c r="I33" s="246"/>
      <c r="J33" s="246"/>
      <c r="K33" s="246"/>
      <c r="L33" s="246"/>
      <c r="M33" s="246"/>
      <c r="N33" s="246"/>
      <c r="O33" s="244">
        <v>-4782</v>
      </c>
    </row>
    <row r="34" spans="1:15" x14ac:dyDescent="0.25">
      <c r="A34" s="239"/>
      <c r="B34" s="239" t="s">
        <v>631</v>
      </c>
      <c r="C34" s="245">
        <v>38281.160000000003</v>
      </c>
      <c r="D34" s="245">
        <v>130512.26</v>
      </c>
      <c r="E34" s="245">
        <v>31636.87</v>
      </c>
      <c r="F34" s="240"/>
      <c r="G34" s="240"/>
      <c r="H34" s="240"/>
      <c r="I34" s="240"/>
      <c r="J34" s="240"/>
      <c r="K34" s="240"/>
      <c r="L34" s="240"/>
      <c r="M34" s="240"/>
      <c r="N34" s="240"/>
      <c r="O34" s="245">
        <v>200430.29</v>
      </c>
    </row>
    <row r="35" spans="1:15" x14ac:dyDescent="0.25">
      <c r="A35" s="235"/>
      <c r="B35" s="235"/>
      <c r="C35" s="236"/>
      <c r="D35" s="236"/>
      <c r="E35" s="236"/>
      <c r="F35" s="236"/>
      <c r="G35" s="236"/>
      <c r="H35" s="236"/>
      <c r="I35" s="236"/>
      <c r="J35" s="236"/>
      <c r="K35" s="236"/>
      <c r="L35" s="236"/>
      <c r="M35" s="236"/>
      <c r="N35" s="236"/>
      <c r="O35" s="236"/>
    </row>
    <row r="36" spans="1:15" x14ac:dyDescent="0.25">
      <c r="A36" s="239"/>
      <c r="B36" s="239" t="s">
        <v>632</v>
      </c>
      <c r="C36" s="240"/>
      <c r="D36" s="240"/>
      <c r="E36" s="240"/>
      <c r="F36" s="240"/>
      <c r="G36" s="240"/>
      <c r="H36" s="240"/>
      <c r="I36" s="240"/>
      <c r="J36" s="240"/>
      <c r="K36" s="240"/>
      <c r="L36" s="240"/>
      <c r="M36" s="240"/>
      <c r="N36" s="240"/>
      <c r="O36" s="240"/>
    </row>
    <row r="37" spans="1:15" x14ac:dyDescent="0.25">
      <c r="A37" s="241" t="s">
        <v>633</v>
      </c>
      <c r="B37" s="241" t="s">
        <v>585</v>
      </c>
      <c r="C37" s="242">
        <v>26372.5</v>
      </c>
      <c r="D37" s="242">
        <v>9353.74</v>
      </c>
      <c r="E37" s="242">
        <v>-6106.38</v>
      </c>
      <c r="F37" s="243"/>
      <c r="G37" s="243"/>
      <c r="H37" s="243"/>
      <c r="I37" s="243"/>
      <c r="J37" s="243"/>
      <c r="K37" s="243"/>
      <c r="L37" s="243"/>
      <c r="M37" s="243"/>
      <c r="N37" s="243"/>
      <c r="O37" s="242">
        <v>29619.86</v>
      </c>
    </row>
    <row r="38" spans="1:15" x14ac:dyDescent="0.25">
      <c r="A38" s="241" t="s">
        <v>634</v>
      </c>
      <c r="B38" s="241" t="s">
        <v>587</v>
      </c>
      <c r="C38" s="242">
        <v>1054.0999999999999</v>
      </c>
      <c r="D38" s="242">
        <v>338.4</v>
      </c>
      <c r="E38" s="242">
        <v>509.52</v>
      </c>
      <c r="F38" s="243"/>
      <c r="G38" s="243"/>
      <c r="H38" s="243"/>
      <c r="I38" s="243"/>
      <c r="J38" s="243"/>
      <c r="K38" s="243"/>
      <c r="L38" s="243"/>
      <c r="M38" s="243"/>
      <c r="N38" s="243"/>
      <c r="O38" s="242">
        <v>1902.02</v>
      </c>
    </row>
    <row r="39" spans="1:15" x14ac:dyDescent="0.25">
      <c r="A39" s="241" t="s">
        <v>635</v>
      </c>
      <c r="B39" s="241" t="s">
        <v>589</v>
      </c>
      <c r="C39" s="242">
        <v>22488.14</v>
      </c>
      <c r="D39" s="242">
        <v>3518.3</v>
      </c>
      <c r="E39" s="242">
        <v>-9869.4599999999991</v>
      </c>
      <c r="F39" s="243"/>
      <c r="G39" s="243"/>
      <c r="H39" s="243"/>
      <c r="I39" s="243"/>
      <c r="J39" s="243"/>
      <c r="K39" s="243"/>
      <c r="L39" s="243"/>
      <c r="M39" s="243"/>
      <c r="N39" s="243"/>
      <c r="O39" s="242">
        <v>16136.98</v>
      </c>
    </row>
    <row r="40" spans="1:15" x14ac:dyDescent="0.25">
      <c r="A40" s="241" t="s">
        <v>641</v>
      </c>
      <c r="B40" s="241" t="s">
        <v>623</v>
      </c>
      <c r="C40" s="244">
        <v>-39006.76</v>
      </c>
      <c r="D40" s="244">
        <v>-9686.5</v>
      </c>
      <c r="E40" s="244">
        <v>16528.330000000002</v>
      </c>
      <c r="F40" s="246"/>
      <c r="G40" s="246"/>
      <c r="H40" s="246"/>
      <c r="I40" s="246"/>
      <c r="J40" s="246"/>
      <c r="K40" s="246"/>
      <c r="L40" s="246"/>
      <c r="M40" s="246"/>
      <c r="N40" s="246"/>
      <c r="O40" s="244">
        <v>-32164.93</v>
      </c>
    </row>
    <row r="41" spans="1:15" x14ac:dyDescent="0.25">
      <c r="A41" s="239"/>
      <c r="B41" s="239" t="s">
        <v>644</v>
      </c>
      <c r="C41" s="245">
        <v>10907.98</v>
      </c>
      <c r="D41" s="245">
        <v>3523.94</v>
      </c>
      <c r="E41" s="245">
        <v>1062.01</v>
      </c>
      <c r="F41" s="240"/>
      <c r="G41" s="240"/>
      <c r="H41" s="240"/>
      <c r="I41" s="240"/>
      <c r="J41" s="240"/>
      <c r="K41" s="240"/>
      <c r="L41" s="240"/>
      <c r="M41" s="240"/>
      <c r="N41" s="240"/>
      <c r="O41" s="245">
        <v>15493.93</v>
      </c>
    </row>
    <row r="42" spans="1:15" x14ac:dyDescent="0.25">
      <c r="A42" s="235"/>
      <c r="B42" s="235"/>
      <c r="C42" s="236"/>
      <c r="D42" s="236"/>
      <c r="E42" s="236"/>
      <c r="F42" s="236"/>
      <c r="G42" s="236"/>
      <c r="H42" s="236"/>
      <c r="I42" s="236"/>
      <c r="J42" s="236"/>
      <c r="K42" s="236"/>
      <c r="L42" s="236"/>
      <c r="M42" s="236"/>
      <c r="N42" s="236"/>
      <c r="O42" s="236"/>
    </row>
    <row r="43" spans="1:15" x14ac:dyDescent="0.25">
      <c r="A43" s="239"/>
      <c r="B43" s="239" t="s">
        <v>645</v>
      </c>
      <c r="C43" s="240"/>
      <c r="D43" s="240"/>
      <c r="E43" s="240"/>
      <c r="F43" s="240"/>
      <c r="G43" s="240"/>
      <c r="H43" s="240"/>
      <c r="I43" s="240"/>
      <c r="J43" s="240"/>
      <c r="K43" s="240"/>
      <c r="L43" s="240"/>
      <c r="M43" s="240"/>
      <c r="N43" s="240"/>
      <c r="O43" s="240"/>
    </row>
    <row r="44" spans="1:15" x14ac:dyDescent="0.25">
      <c r="A44" s="241" t="s">
        <v>646</v>
      </c>
      <c r="B44" s="241" t="s">
        <v>585</v>
      </c>
      <c r="C44" s="242">
        <v>9632.5400000000009</v>
      </c>
      <c r="D44" s="242">
        <v>4757.66</v>
      </c>
      <c r="E44" s="242">
        <v>725.98</v>
      </c>
      <c r="F44" s="243"/>
      <c r="G44" s="243"/>
      <c r="H44" s="243"/>
      <c r="I44" s="243"/>
      <c r="J44" s="243"/>
      <c r="K44" s="243"/>
      <c r="L44" s="243"/>
      <c r="M44" s="243"/>
      <c r="N44" s="243"/>
      <c r="O44" s="242">
        <v>15116.18</v>
      </c>
    </row>
    <row r="45" spans="1:15" x14ac:dyDescent="0.25">
      <c r="A45" s="241" t="s">
        <v>648</v>
      </c>
      <c r="B45" s="241" t="s">
        <v>589</v>
      </c>
      <c r="C45" s="242">
        <v>2125.1999999999998</v>
      </c>
      <c r="D45" s="242">
        <v>724.48</v>
      </c>
      <c r="E45" s="242">
        <v>520.72</v>
      </c>
      <c r="F45" s="243"/>
      <c r="G45" s="243"/>
      <c r="H45" s="243"/>
      <c r="I45" s="243"/>
      <c r="J45" s="243"/>
      <c r="K45" s="243"/>
      <c r="L45" s="243"/>
      <c r="M45" s="243"/>
      <c r="N45" s="243"/>
      <c r="O45" s="242">
        <v>3370.4</v>
      </c>
    </row>
    <row r="46" spans="1:15" x14ac:dyDescent="0.25">
      <c r="A46" s="241" t="s">
        <v>650</v>
      </c>
      <c r="B46" s="241" t="s">
        <v>623</v>
      </c>
      <c r="C46" s="242">
        <v>-6947.39</v>
      </c>
      <c r="D46" s="242">
        <v>-3234.08</v>
      </c>
      <c r="E46" s="242">
        <v>-716.94</v>
      </c>
      <c r="F46" s="243"/>
      <c r="G46" s="243"/>
      <c r="H46" s="243"/>
      <c r="I46" s="243"/>
      <c r="J46" s="243"/>
      <c r="K46" s="243"/>
      <c r="L46" s="243"/>
      <c r="M46" s="243"/>
      <c r="N46" s="243"/>
      <c r="O46" s="242">
        <v>-10898.41</v>
      </c>
    </row>
    <row r="47" spans="1:15" x14ac:dyDescent="0.25">
      <c r="A47" s="241" t="s">
        <v>651</v>
      </c>
      <c r="B47" s="241" t="s">
        <v>627</v>
      </c>
      <c r="C47" s="244">
        <v>-77.09</v>
      </c>
      <c r="D47" s="244">
        <v>-36.04</v>
      </c>
      <c r="E47" s="244">
        <v>-8.49</v>
      </c>
      <c r="F47" s="246"/>
      <c r="G47" s="246"/>
      <c r="H47" s="246"/>
      <c r="I47" s="246"/>
      <c r="J47" s="246"/>
      <c r="K47" s="246"/>
      <c r="L47" s="246"/>
      <c r="M47" s="246"/>
      <c r="N47" s="246"/>
      <c r="O47" s="244">
        <v>-121.62</v>
      </c>
    </row>
    <row r="48" spans="1:15" x14ac:dyDescent="0.25">
      <c r="A48" s="239"/>
      <c r="B48" s="239" t="s">
        <v>653</v>
      </c>
      <c r="C48" s="245">
        <v>4733.26</v>
      </c>
      <c r="D48" s="245">
        <v>2212.02</v>
      </c>
      <c r="E48" s="245">
        <v>521.27</v>
      </c>
      <c r="F48" s="240"/>
      <c r="G48" s="240"/>
      <c r="H48" s="240"/>
      <c r="I48" s="240"/>
      <c r="J48" s="240"/>
      <c r="K48" s="240"/>
      <c r="L48" s="240"/>
      <c r="M48" s="240"/>
      <c r="N48" s="240"/>
      <c r="O48" s="245">
        <v>7466.55</v>
      </c>
    </row>
    <row r="49" spans="1:15" x14ac:dyDescent="0.25">
      <c r="A49" s="235"/>
      <c r="B49" s="235"/>
      <c r="C49" s="236"/>
      <c r="D49" s="236"/>
      <c r="E49" s="236"/>
      <c r="F49" s="236"/>
      <c r="G49" s="236"/>
      <c r="H49" s="236"/>
      <c r="I49" s="236"/>
      <c r="J49" s="236"/>
      <c r="K49" s="236"/>
      <c r="L49" s="236"/>
      <c r="M49" s="236"/>
      <c r="N49" s="236"/>
      <c r="O49" s="236"/>
    </row>
    <row r="50" spans="1:15" x14ac:dyDescent="0.25">
      <c r="A50" s="239"/>
      <c r="B50" s="239" t="s">
        <v>654</v>
      </c>
      <c r="C50" s="247"/>
      <c r="D50" s="247"/>
      <c r="E50" s="247"/>
      <c r="F50" s="247"/>
      <c r="G50" s="247"/>
      <c r="H50" s="247"/>
      <c r="I50" s="247"/>
      <c r="J50" s="247"/>
      <c r="K50" s="247"/>
      <c r="L50" s="247"/>
      <c r="M50" s="247"/>
      <c r="N50" s="247"/>
      <c r="O50" s="247"/>
    </row>
    <row r="51" spans="1:15" x14ac:dyDescent="0.25">
      <c r="A51" s="235"/>
      <c r="B51" s="235"/>
      <c r="C51" s="236"/>
      <c r="D51" s="236"/>
      <c r="E51" s="236"/>
      <c r="F51" s="236"/>
      <c r="G51" s="236"/>
      <c r="H51" s="236"/>
      <c r="I51" s="236"/>
      <c r="J51" s="236"/>
      <c r="K51" s="236"/>
      <c r="L51" s="236"/>
      <c r="M51" s="236"/>
      <c r="N51" s="236"/>
      <c r="O51" s="236"/>
    </row>
    <row r="52" spans="1:15" x14ac:dyDescent="0.25">
      <c r="A52" s="239"/>
      <c r="B52" s="239" t="s">
        <v>658</v>
      </c>
      <c r="C52" s="240"/>
      <c r="D52" s="240"/>
      <c r="E52" s="240"/>
      <c r="F52" s="240"/>
      <c r="G52" s="240"/>
      <c r="H52" s="240"/>
      <c r="I52" s="240"/>
      <c r="J52" s="240"/>
      <c r="K52" s="240"/>
      <c r="L52" s="240"/>
      <c r="M52" s="240"/>
      <c r="N52" s="240"/>
      <c r="O52" s="240"/>
    </row>
    <row r="53" spans="1:15" x14ac:dyDescent="0.25">
      <c r="A53" s="241" t="s">
        <v>659</v>
      </c>
      <c r="B53" s="241" t="s">
        <v>573</v>
      </c>
      <c r="C53" s="242">
        <v>168835</v>
      </c>
      <c r="D53" s="242">
        <v>111245</v>
      </c>
      <c r="E53" s="242">
        <v>37561.5</v>
      </c>
      <c r="F53" s="243"/>
      <c r="G53" s="243"/>
      <c r="H53" s="243"/>
      <c r="I53" s="243"/>
      <c r="J53" s="243"/>
      <c r="K53" s="243"/>
      <c r="L53" s="243"/>
      <c r="M53" s="243"/>
      <c r="N53" s="243"/>
      <c r="O53" s="242">
        <v>317641.5</v>
      </c>
    </row>
    <row r="54" spans="1:15" x14ac:dyDescent="0.25">
      <c r="A54" s="241" t="s">
        <v>661</v>
      </c>
      <c r="B54" s="241" t="s">
        <v>577</v>
      </c>
      <c r="C54" s="242">
        <v>491.36</v>
      </c>
      <c r="D54" s="242">
        <v>1197</v>
      </c>
      <c r="E54" s="242">
        <v>-30.84</v>
      </c>
      <c r="F54" s="243"/>
      <c r="G54" s="243"/>
      <c r="H54" s="243"/>
      <c r="I54" s="243"/>
      <c r="J54" s="243"/>
      <c r="K54" s="243"/>
      <c r="L54" s="243"/>
      <c r="M54" s="243"/>
      <c r="N54" s="243"/>
      <c r="O54" s="242">
        <v>1657.52</v>
      </c>
    </row>
    <row r="55" spans="1:15" x14ac:dyDescent="0.25">
      <c r="A55" s="241" t="s">
        <v>662</v>
      </c>
      <c r="B55" s="241" t="s">
        <v>579</v>
      </c>
      <c r="C55" s="242">
        <v>1335</v>
      </c>
      <c r="D55" s="242">
        <v>1076.5</v>
      </c>
      <c r="E55" s="242">
        <v>117.52</v>
      </c>
      <c r="F55" s="243"/>
      <c r="G55" s="243"/>
      <c r="H55" s="243"/>
      <c r="I55" s="243"/>
      <c r="J55" s="243"/>
      <c r="K55" s="243"/>
      <c r="L55" s="243"/>
      <c r="M55" s="243"/>
      <c r="N55" s="243"/>
      <c r="O55" s="242">
        <v>2529.02</v>
      </c>
    </row>
    <row r="56" spans="1:15" x14ac:dyDescent="0.25">
      <c r="A56" s="241" t="s">
        <v>663</v>
      </c>
      <c r="B56" s="241" t="s">
        <v>581</v>
      </c>
      <c r="C56" s="242">
        <v>116.24</v>
      </c>
      <c r="D56" s="243"/>
      <c r="E56" s="243"/>
      <c r="F56" s="243"/>
      <c r="G56" s="243"/>
      <c r="H56" s="243"/>
      <c r="I56" s="243"/>
      <c r="J56" s="243"/>
      <c r="K56" s="243"/>
      <c r="L56" s="243"/>
      <c r="M56" s="243"/>
      <c r="N56" s="243"/>
      <c r="O56" s="242">
        <v>116.24</v>
      </c>
    </row>
    <row r="57" spans="1:15" x14ac:dyDescent="0.25">
      <c r="A57" s="241" t="s">
        <v>664</v>
      </c>
      <c r="B57" s="241" t="s">
        <v>585</v>
      </c>
      <c r="C57" s="243"/>
      <c r="D57" s="242">
        <v>5199.72</v>
      </c>
      <c r="E57" s="242">
        <v>10460.120000000001</v>
      </c>
      <c r="F57" s="243"/>
      <c r="G57" s="243"/>
      <c r="H57" s="243"/>
      <c r="I57" s="243"/>
      <c r="J57" s="243"/>
      <c r="K57" s="243"/>
      <c r="L57" s="243"/>
      <c r="M57" s="243"/>
      <c r="N57" s="243"/>
      <c r="O57" s="242">
        <v>15659.84</v>
      </c>
    </row>
    <row r="58" spans="1:15" x14ac:dyDescent="0.25">
      <c r="A58" s="241" t="s">
        <v>666</v>
      </c>
      <c r="B58" s="241" t="s">
        <v>589</v>
      </c>
      <c r="C58" s="243"/>
      <c r="D58" s="242">
        <v>4304.6000000000004</v>
      </c>
      <c r="E58" s="242">
        <v>11694.32</v>
      </c>
      <c r="F58" s="243"/>
      <c r="G58" s="243"/>
      <c r="H58" s="243"/>
      <c r="I58" s="243"/>
      <c r="J58" s="243"/>
      <c r="K58" s="243"/>
      <c r="L58" s="243"/>
      <c r="M58" s="243"/>
      <c r="N58" s="243"/>
      <c r="O58" s="242">
        <v>15998.92</v>
      </c>
    </row>
    <row r="59" spans="1:15" x14ac:dyDescent="0.25">
      <c r="A59" s="241" t="s">
        <v>667</v>
      </c>
      <c r="B59" s="241" t="s">
        <v>591</v>
      </c>
      <c r="C59" s="242">
        <v>1722</v>
      </c>
      <c r="D59" s="242">
        <v>1779.4</v>
      </c>
      <c r="E59" s="242">
        <v>1031.2</v>
      </c>
      <c r="F59" s="243"/>
      <c r="G59" s="243"/>
      <c r="H59" s="243"/>
      <c r="I59" s="243"/>
      <c r="J59" s="243"/>
      <c r="K59" s="243"/>
      <c r="L59" s="243"/>
      <c r="M59" s="243"/>
      <c r="N59" s="243"/>
      <c r="O59" s="242">
        <v>4532.6000000000004</v>
      </c>
    </row>
    <row r="60" spans="1:15" x14ac:dyDescent="0.25">
      <c r="A60" s="241" t="s">
        <v>669</v>
      </c>
      <c r="B60" s="241" t="s">
        <v>596</v>
      </c>
      <c r="C60" s="242">
        <v>609.79</v>
      </c>
      <c r="D60" s="242">
        <v>272.74</v>
      </c>
      <c r="E60" s="242">
        <v>53.75</v>
      </c>
      <c r="F60" s="243"/>
      <c r="G60" s="243"/>
      <c r="H60" s="243"/>
      <c r="I60" s="243"/>
      <c r="J60" s="243"/>
      <c r="K60" s="243"/>
      <c r="L60" s="243"/>
      <c r="M60" s="243"/>
      <c r="N60" s="243"/>
      <c r="O60" s="242">
        <v>936.28</v>
      </c>
    </row>
    <row r="61" spans="1:15" x14ac:dyDescent="0.25">
      <c r="A61" s="241" t="s">
        <v>670</v>
      </c>
      <c r="B61" s="241" t="s">
        <v>599</v>
      </c>
      <c r="C61" s="242">
        <v>660</v>
      </c>
      <c r="D61" s="243"/>
      <c r="E61" s="243"/>
      <c r="F61" s="243"/>
      <c r="G61" s="243"/>
      <c r="H61" s="243"/>
      <c r="I61" s="243"/>
      <c r="J61" s="243"/>
      <c r="K61" s="243"/>
      <c r="L61" s="243"/>
      <c r="M61" s="243"/>
      <c r="N61" s="243"/>
      <c r="O61" s="242">
        <v>660</v>
      </c>
    </row>
    <row r="62" spans="1:15" x14ac:dyDescent="0.25">
      <c r="A62" s="241" t="s">
        <v>671</v>
      </c>
      <c r="B62" s="241" t="s">
        <v>601</v>
      </c>
      <c r="C62" s="242">
        <v>13626.76</v>
      </c>
      <c r="D62" s="242">
        <v>9962.58</v>
      </c>
      <c r="E62" s="242">
        <v>-1625.97</v>
      </c>
      <c r="F62" s="243"/>
      <c r="G62" s="243"/>
      <c r="H62" s="243"/>
      <c r="I62" s="243"/>
      <c r="J62" s="243"/>
      <c r="K62" s="243"/>
      <c r="L62" s="243"/>
      <c r="M62" s="243"/>
      <c r="N62" s="243"/>
      <c r="O62" s="242">
        <v>21963.37</v>
      </c>
    </row>
    <row r="63" spans="1:15" x14ac:dyDescent="0.25">
      <c r="A63" s="241" t="s">
        <v>672</v>
      </c>
      <c r="B63" s="241" t="s">
        <v>603</v>
      </c>
      <c r="C63" s="242">
        <v>-4934.3900000000003</v>
      </c>
      <c r="D63" s="242">
        <v>-4325.6400000000003</v>
      </c>
      <c r="E63" s="242">
        <v>-1171.6300000000001</v>
      </c>
      <c r="F63" s="243"/>
      <c r="G63" s="243"/>
      <c r="H63" s="243"/>
      <c r="I63" s="243"/>
      <c r="J63" s="243"/>
      <c r="K63" s="243"/>
      <c r="L63" s="243"/>
      <c r="M63" s="243"/>
      <c r="N63" s="243"/>
      <c r="O63" s="242">
        <v>-10431.66</v>
      </c>
    </row>
    <row r="64" spans="1:15" x14ac:dyDescent="0.25">
      <c r="A64" s="241" t="s">
        <v>673</v>
      </c>
      <c r="B64" s="241" t="s">
        <v>623</v>
      </c>
      <c r="C64" s="243"/>
      <c r="D64" s="242">
        <v>-9504.32</v>
      </c>
      <c r="E64" s="242">
        <v>-22154.44</v>
      </c>
      <c r="F64" s="243"/>
      <c r="G64" s="243"/>
      <c r="H64" s="243"/>
      <c r="I64" s="243"/>
      <c r="J64" s="243"/>
      <c r="K64" s="243"/>
      <c r="L64" s="243"/>
      <c r="M64" s="243"/>
      <c r="N64" s="243"/>
      <c r="O64" s="242">
        <v>-31658.76</v>
      </c>
    </row>
    <row r="65" spans="1:15" x14ac:dyDescent="0.25">
      <c r="A65" s="241" t="s">
        <v>674</v>
      </c>
      <c r="B65" s="241" t="s">
        <v>675</v>
      </c>
      <c r="C65" s="242">
        <v>29408.23</v>
      </c>
      <c r="D65" s="242">
        <v>55322.57</v>
      </c>
      <c r="E65" s="242">
        <v>77607.69</v>
      </c>
      <c r="F65" s="243"/>
      <c r="G65" s="243"/>
      <c r="H65" s="243"/>
      <c r="I65" s="243"/>
      <c r="J65" s="243"/>
      <c r="K65" s="243"/>
      <c r="L65" s="243"/>
      <c r="M65" s="243"/>
      <c r="N65" s="243"/>
      <c r="O65" s="242">
        <v>162338.49</v>
      </c>
    </row>
    <row r="66" spans="1:15" x14ac:dyDescent="0.25">
      <c r="A66" s="241" t="s">
        <v>676</v>
      </c>
      <c r="B66" s="241" t="s">
        <v>605</v>
      </c>
      <c r="C66" s="244">
        <v>-3973.88</v>
      </c>
      <c r="D66" s="244">
        <v>-8455.11</v>
      </c>
      <c r="E66" s="244">
        <v>-840.69</v>
      </c>
      <c r="F66" s="246"/>
      <c r="G66" s="246"/>
      <c r="H66" s="246"/>
      <c r="I66" s="246"/>
      <c r="J66" s="246"/>
      <c r="K66" s="246"/>
      <c r="L66" s="246"/>
      <c r="M66" s="246"/>
      <c r="N66" s="246"/>
      <c r="O66" s="244">
        <v>-13269.68</v>
      </c>
    </row>
    <row r="67" spans="1:15" x14ac:dyDescent="0.25">
      <c r="A67" s="239"/>
      <c r="B67" s="239" t="s">
        <v>679</v>
      </c>
      <c r="C67" s="245">
        <v>207896.11</v>
      </c>
      <c r="D67" s="245">
        <v>168075.04</v>
      </c>
      <c r="E67" s="245">
        <v>112702.53</v>
      </c>
      <c r="F67" s="240"/>
      <c r="G67" s="240"/>
      <c r="H67" s="240"/>
      <c r="I67" s="240"/>
      <c r="J67" s="240"/>
      <c r="K67" s="240"/>
      <c r="L67" s="240"/>
      <c r="M67" s="240"/>
      <c r="N67" s="240"/>
      <c r="O67" s="245">
        <v>488673.68</v>
      </c>
    </row>
    <row r="68" spans="1:15" x14ac:dyDescent="0.25">
      <c r="A68" s="235"/>
      <c r="B68" s="235"/>
      <c r="C68" s="236"/>
      <c r="D68" s="236"/>
      <c r="E68" s="236"/>
      <c r="F68" s="236"/>
      <c r="G68" s="236"/>
      <c r="H68" s="236"/>
      <c r="I68" s="236"/>
      <c r="J68" s="236"/>
      <c r="K68" s="236"/>
      <c r="L68" s="236"/>
      <c r="M68" s="236"/>
      <c r="N68" s="236"/>
      <c r="O68" s="236"/>
    </row>
    <row r="69" spans="1:15" x14ac:dyDescent="0.25">
      <c r="A69" s="239"/>
      <c r="B69" s="239" t="s">
        <v>680</v>
      </c>
      <c r="C69" s="240"/>
      <c r="D69" s="240"/>
      <c r="E69" s="240"/>
      <c r="F69" s="240"/>
      <c r="G69" s="240"/>
      <c r="H69" s="240"/>
      <c r="I69" s="240"/>
      <c r="J69" s="240"/>
      <c r="K69" s="240"/>
      <c r="L69" s="240"/>
      <c r="M69" s="240"/>
      <c r="N69" s="240"/>
      <c r="O69" s="240"/>
    </row>
    <row r="70" spans="1:15" x14ac:dyDescent="0.25">
      <c r="A70" s="241" t="s">
        <v>681</v>
      </c>
      <c r="B70" s="241" t="s">
        <v>573</v>
      </c>
      <c r="C70" s="242">
        <v>-24390</v>
      </c>
      <c r="D70" s="242">
        <v>-6025</v>
      </c>
      <c r="E70" s="242">
        <v>-11633.75</v>
      </c>
      <c r="F70" s="243"/>
      <c r="G70" s="243"/>
      <c r="H70" s="243"/>
      <c r="I70" s="243"/>
      <c r="J70" s="243"/>
      <c r="K70" s="243"/>
      <c r="L70" s="243"/>
      <c r="M70" s="243"/>
      <c r="N70" s="243"/>
      <c r="O70" s="242">
        <v>-42048.75</v>
      </c>
    </row>
    <row r="71" spans="1:15" x14ac:dyDescent="0.25">
      <c r="A71" s="241" t="s">
        <v>683</v>
      </c>
      <c r="B71" s="241" t="s">
        <v>577</v>
      </c>
      <c r="C71" s="243"/>
      <c r="D71" s="242">
        <v>3115.81</v>
      </c>
      <c r="E71" s="242">
        <v>6.41</v>
      </c>
      <c r="F71" s="243"/>
      <c r="G71" s="243"/>
      <c r="H71" s="243"/>
      <c r="I71" s="243"/>
      <c r="J71" s="243"/>
      <c r="K71" s="243"/>
      <c r="L71" s="243"/>
      <c r="M71" s="243"/>
      <c r="N71" s="243"/>
      <c r="O71" s="242">
        <v>3122.22</v>
      </c>
    </row>
    <row r="72" spans="1:15" x14ac:dyDescent="0.25">
      <c r="A72" s="241" t="s">
        <v>686</v>
      </c>
      <c r="B72" s="241" t="s">
        <v>585</v>
      </c>
      <c r="C72" s="242">
        <v>-2150.52</v>
      </c>
      <c r="D72" s="243"/>
      <c r="E72" s="243"/>
      <c r="F72" s="243"/>
      <c r="G72" s="243"/>
      <c r="H72" s="243"/>
      <c r="I72" s="243"/>
      <c r="J72" s="243"/>
      <c r="K72" s="243"/>
      <c r="L72" s="243"/>
      <c r="M72" s="243"/>
      <c r="N72" s="243"/>
      <c r="O72" s="242">
        <v>-2150.52</v>
      </c>
    </row>
    <row r="73" spans="1:15" x14ac:dyDescent="0.25">
      <c r="A73" s="241" t="s">
        <v>688</v>
      </c>
      <c r="B73" s="241" t="s">
        <v>589</v>
      </c>
      <c r="C73" s="242">
        <v>-2205.2800000000002</v>
      </c>
      <c r="D73" s="243"/>
      <c r="E73" s="243"/>
      <c r="F73" s="243"/>
      <c r="G73" s="243"/>
      <c r="H73" s="243"/>
      <c r="I73" s="243"/>
      <c r="J73" s="243"/>
      <c r="K73" s="243"/>
      <c r="L73" s="243"/>
      <c r="M73" s="243"/>
      <c r="N73" s="243"/>
      <c r="O73" s="242">
        <v>-2205.2800000000002</v>
      </c>
    </row>
    <row r="74" spans="1:15" x14ac:dyDescent="0.25">
      <c r="A74" s="241" t="s">
        <v>689</v>
      </c>
      <c r="B74" s="241" t="s">
        <v>591</v>
      </c>
      <c r="C74" s="242">
        <v>135</v>
      </c>
      <c r="D74" s="242">
        <v>139.5</v>
      </c>
      <c r="E74" s="242">
        <v>49.5</v>
      </c>
      <c r="F74" s="243"/>
      <c r="G74" s="243"/>
      <c r="H74" s="243"/>
      <c r="I74" s="243"/>
      <c r="J74" s="243"/>
      <c r="K74" s="243"/>
      <c r="L74" s="243"/>
      <c r="M74" s="243"/>
      <c r="N74" s="243"/>
      <c r="O74" s="242">
        <v>324</v>
      </c>
    </row>
    <row r="75" spans="1:15" x14ac:dyDescent="0.25">
      <c r="A75" s="241" t="s">
        <v>691</v>
      </c>
      <c r="B75" s="241" t="s">
        <v>596</v>
      </c>
      <c r="C75" s="242">
        <v>-29.73</v>
      </c>
      <c r="D75" s="242">
        <v>94.81</v>
      </c>
      <c r="E75" s="242">
        <v>81.260000000000005</v>
      </c>
      <c r="F75" s="243"/>
      <c r="G75" s="243"/>
      <c r="H75" s="243"/>
      <c r="I75" s="243"/>
      <c r="J75" s="243"/>
      <c r="K75" s="243"/>
      <c r="L75" s="243"/>
      <c r="M75" s="243"/>
      <c r="N75" s="243"/>
      <c r="O75" s="242">
        <v>146.34</v>
      </c>
    </row>
    <row r="76" spans="1:15" x14ac:dyDescent="0.25">
      <c r="A76" s="241" t="s">
        <v>692</v>
      </c>
      <c r="B76" s="241" t="s">
        <v>599</v>
      </c>
      <c r="C76" s="242">
        <v>-660</v>
      </c>
      <c r="D76" s="243"/>
      <c r="E76" s="243"/>
      <c r="F76" s="243"/>
      <c r="G76" s="243"/>
      <c r="H76" s="243"/>
      <c r="I76" s="243"/>
      <c r="J76" s="243"/>
      <c r="K76" s="243"/>
      <c r="L76" s="243"/>
      <c r="M76" s="243"/>
      <c r="N76" s="243"/>
      <c r="O76" s="242">
        <v>-660</v>
      </c>
    </row>
    <row r="77" spans="1:15" x14ac:dyDescent="0.25">
      <c r="A77" s="241" t="s">
        <v>693</v>
      </c>
      <c r="B77" s="241" t="s">
        <v>601</v>
      </c>
      <c r="C77" s="242">
        <v>-617.79999999999995</v>
      </c>
      <c r="D77" s="242">
        <v>-2058.5100000000002</v>
      </c>
      <c r="E77" s="242">
        <v>-935.48</v>
      </c>
      <c r="F77" s="243"/>
      <c r="G77" s="243"/>
      <c r="H77" s="243"/>
      <c r="I77" s="243"/>
      <c r="J77" s="243"/>
      <c r="K77" s="243"/>
      <c r="L77" s="243"/>
      <c r="M77" s="243"/>
      <c r="N77" s="243"/>
      <c r="O77" s="242">
        <v>-3611.79</v>
      </c>
    </row>
    <row r="78" spans="1:15" x14ac:dyDescent="0.25">
      <c r="A78" s="241" t="s">
        <v>694</v>
      </c>
      <c r="B78" s="241" t="s">
        <v>603</v>
      </c>
      <c r="C78" s="242">
        <v>554.73</v>
      </c>
      <c r="D78" s="242">
        <v>-3350.12</v>
      </c>
      <c r="E78" s="242">
        <v>-137.16999999999999</v>
      </c>
      <c r="F78" s="243"/>
      <c r="G78" s="243"/>
      <c r="H78" s="243"/>
      <c r="I78" s="243"/>
      <c r="J78" s="243"/>
      <c r="K78" s="243"/>
      <c r="L78" s="243"/>
      <c r="M78" s="243"/>
      <c r="N78" s="243"/>
      <c r="O78" s="242">
        <v>-2932.56</v>
      </c>
    </row>
    <row r="79" spans="1:15" x14ac:dyDescent="0.25">
      <c r="A79" s="241" t="s">
        <v>695</v>
      </c>
      <c r="B79" s="241" t="s">
        <v>623</v>
      </c>
      <c r="C79" s="242">
        <v>4355.8</v>
      </c>
      <c r="D79" s="243"/>
      <c r="E79" s="243"/>
      <c r="F79" s="243"/>
      <c r="G79" s="243"/>
      <c r="H79" s="243"/>
      <c r="I79" s="243"/>
      <c r="J79" s="243"/>
      <c r="K79" s="243"/>
      <c r="L79" s="243"/>
      <c r="M79" s="243"/>
      <c r="N79" s="243"/>
      <c r="O79" s="242">
        <v>4355.8</v>
      </c>
    </row>
    <row r="80" spans="1:15" x14ac:dyDescent="0.25">
      <c r="A80" s="241" t="s">
        <v>696</v>
      </c>
      <c r="B80" s="241" t="s">
        <v>605</v>
      </c>
      <c r="C80" s="246"/>
      <c r="D80" s="244">
        <v>-9466.91</v>
      </c>
      <c r="E80" s="244">
        <v>-16027.24</v>
      </c>
      <c r="F80" s="246"/>
      <c r="G80" s="246"/>
      <c r="H80" s="246"/>
      <c r="I80" s="246"/>
      <c r="J80" s="246"/>
      <c r="K80" s="246"/>
      <c r="L80" s="246"/>
      <c r="M80" s="246"/>
      <c r="N80" s="246"/>
      <c r="O80" s="244">
        <v>-25494.15</v>
      </c>
    </row>
    <row r="81" spans="1:15" x14ac:dyDescent="0.25">
      <c r="A81" s="239"/>
      <c r="B81" s="239" t="s">
        <v>697</v>
      </c>
      <c r="C81" s="245">
        <v>-25007.8</v>
      </c>
      <c r="D81" s="245">
        <v>-17550.419999999998</v>
      </c>
      <c r="E81" s="245">
        <v>-28596.47</v>
      </c>
      <c r="F81" s="240"/>
      <c r="G81" s="240"/>
      <c r="H81" s="240"/>
      <c r="I81" s="240"/>
      <c r="J81" s="240"/>
      <c r="K81" s="240"/>
      <c r="L81" s="240"/>
      <c r="M81" s="240"/>
      <c r="N81" s="240"/>
      <c r="O81" s="245">
        <v>-71154.69</v>
      </c>
    </row>
    <row r="82" spans="1:15" x14ac:dyDescent="0.25">
      <c r="A82" s="239"/>
      <c r="B82" s="239"/>
      <c r="C82" s="240"/>
      <c r="D82" s="240"/>
      <c r="E82" s="240"/>
      <c r="F82" s="240"/>
      <c r="G82" s="240"/>
      <c r="H82" s="240"/>
      <c r="I82" s="240"/>
      <c r="J82" s="240"/>
      <c r="K82" s="240"/>
      <c r="L82" s="240"/>
      <c r="M82" s="240"/>
      <c r="N82" s="240"/>
      <c r="O82" s="240"/>
    </row>
    <row r="83" spans="1:15" x14ac:dyDescent="0.25">
      <c r="A83" s="239"/>
      <c r="B83" s="239" t="s">
        <v>698</v>
      </c>
      <c r="C83" s="247"/>
      <c r="D83" s="247"/>
      <c r="E83" s="247"/>
      <c r="F83" s="247"/>
      <c r="G83" s="247"/>
      <c r="H83" s="247"/>
      <c r="I83" s="247"/>
      <c r="J83" s="247"/>
      <c r="K83" s="247"/>
      <c r="L83" s="247"/>
      <c r="M83" s="247"/>
      <c r="N83" s="247"/>
      <c r="O83" s="247"/>
    </row>
    <row r="84" spans="1:15" x14ac:dyDescent="0.25">
      <c r="A84" s="235"/>
      <c r="B84" s="235"/>
      <c r="C84" s="236"/>
      <c r="D84" s="236"/>
      <c r="E84" s="236"/>
      <c r="F84" s="236"/>
      <c r="G84" s="236"/>
      <c r="H84" s="236"/>
      <c r="I84" s="236"/>
      <c r="J84" s="236"/>
      <c r="K84" s="236"/>
      <c r="L84" s="236"/>
      <c r="M84" s="236"/>
      <c r="N84" s="236"/>
      <c r="O84" s="236"/>
    </row>
    <row r="85" spans="1:15" x14ac:dyDescent="0.25">
      <c r="A85" s="239"/>
      <c r="B85" s="239" t="s">
        <v>717</v>
      </c>
      <c r="C85" s="247"/>
      <c r="D85" s="247"/>
      <c r="E85" s="247"/>
      <c r="F85" s="247"/>
      <c r="G85" s="247"/>
      <c r="H85" s="247"/>
      <c r="I85" s="247"/>
      <c r="J85" s="247"/>
      <c r="K85" s="247"/>
      <c r="L85" s="247"/>
      <c r="M85" s="247"/>
      <c r="N85" s="247"/>
      <c r="O85" s="247"/>
    </row>
    <row r="86" spans="1:15" x14ac:dyDescent="0.25">
      <c r="A86" s="235"/>
      <c r="B86" s="235"/>
      <c r="C86" s="236"/>
      <c r="D86" s="236"/>
      <c r="E86" s="236"/>
      <c r="F86" s="236"/>
      <c r="G86" s="236"/>
      <c r="H86" s="236"/>
      <c r="I86" s="236"/>
      <c r="J86" s="236"/>
      <c r="K86" s="236"/>
      <c r="L86" s="236"/>
      <c r="M86" s="236"/>
      <c r="N86" s="236"/>
      <c r="O86" s="236"/>
    </row>
    <row r="87" spans="1:15" x14ac:dyDescent="0.25">
      <c r="A87" s="239"/>
      <c r="B87" s="239" t="s">
        <v>718</v>
      </c>
      <c r="C87" s="247"/>
      <c r="D87" s="247"/>
      <c r="E87" s="247"/>
      <c r="F87" s="247"/>
      <c r="G87" s="247"/>
      <c r="H87" s="247"/>
      <c r="I87" s="247"/>
      <c r="J87" s="247"/>
      <c r="K87" s="247"/>
      <c r="L87" s="247"/>
      <c r="M87" s="247"/>
      <c r="N87" s="247"/>
      <c r="O87" s="247"/>
    </row>
    <row r="88" spans="1:15" x14ac:dyDescent="0.25">
      <c r="A88" s="235"/>
      <c r="B88" s="235"/>
      <c r="C88" s="236"/>
      <c r="D88" s="236"/>
      <c r="E88" s="236"/>
      <c r="F88" s="236"/>
      <c r="G88" s="236"/>
      <c r="H88" s="236"/>
      <c r="I88" s="236"/>
      <c r="J88" s="236"/>
      <c r="K88" s="236"/>
      <c r="L88" s="236"/>
      <c r="M88" s="236"/>
      <c r="N88" s="236"/>
      <c r="O88" s="236"/>
    </row>
    <row r="89" spans="1:15" x14ac:dyDescent="0.25">
      <c r="A89" s="239"/>
      <c r="B89" s="239" t="s">
        <v>721</v>
      </c>
      <c r="C89" s="240"/>
      <c r="D89" s="240"/>
      <c r="E89" s="240"/>
      <c r="F89" s="240"/>
      <c r="G89" s="240"/>
      <c r="H89" s="240"/>
      <c r="I89" s="240"/>
      <c r="J89" s="240"/>
      <c r="K89" s="240"/>
      <c r="L89" s="240"/>
      <c r="M89" s="240"/>
      <c r="N89" s="240"/>
      <c r="O89" s="240"/>
    </row>
    <row r="90" spans="1:15" x14ac:dyDescent="0.25">
      <c r="A90" s="241" t="s">
        <v>722</v>
      </c>
      <c r="B90" s="241" t="s">
        <v>573</v>
      </c>
      <c r="C90" s="242">
        <v>27105</v>
      </c>
      <c r="D90" s="242">
        <v>20760</v>
      </c>
      <c r="E90" s="242">
        <v>7544</v>
      </c>
      <c r="F90" s="243"/>
      <c r="G90" s="243"/>
      <c r="H90" s="243"/>
      <c r="I90" s="243"/>
      <c r="J90" s="243"/>
      <c r="K90" s="243"/>
      <c r="L90" s="243"/>
      <c r="M90" s="243"/>
      <c r="N90" s="243"/>
      <c r="O90" s="242">
        <v>55409</v>
      </c>
    </row>
    <row r="91" spans="1:15" x14ac:dyDescent="0.25">
      <c r="A91" s="241" t="s">
        <v>733</v>
      </c>
      <c r="B91" s="241" t="s">
        <v>601</v>
      </c>
      <c r="C91" s="244">
        <v>4467.46</v>
      </c>
      <c r="D91" s="244">
        <v>2862.56</v>
      </c>
      <c r="E91" s="244">
        <v>-502.66</v>
      </c>
      <c r="F91" s="246"/>
      <c r="G91" s="246"/>
      <c r="H91" s="246"/>
      <c r="I91" s="246"/>
      <c r="J91" s="246"/>
      <c r="K91" s="246"/>
      <c r="L91" s="246"/>
      <c r="M91" s="246"/>
      <c r="N91" s="246"/>
      <c r="O91" s="244">
        <v>6827.36</v>
      </c>
    </row>
    <row r="92" spans="1:15" x14ac:dyDescent="0.25">
      <c r="A92" s="239"/>
      <c r="B92" s="239" t="s">
        <v>737</v>
      </c>
      <c r="C92" s="245">
        <v>31572.46</v>
      </c>
      <c r="D92" s="245">
        <v>23622.560000000001</v>
      </c>
      <c r="E92" s="245">
        <v>7041.34</v>
      </c>
      <c r="F92" s="240"/>
      <c r="G92" s="240"/>
      <c r="H92" s="240"/>
      <c r="I92" s="240"/>
      <c r="J92" s="240"/>
      <c r="K92" s="240"/>
      <c r="L92" s="240"/>
      <c r="M92" s="240"/>
      <c r="N92" s="240"/>
      <c r="O92" s="245">
        <v>62236.36</v>
      </c>
    </row>
    <row r="93" spans="1:15" x14ac:dyDescent="0.25">
      <c r="A93" s="235"/>
      <c r="B93" s="235"/>
      <c r="C93" s="236"/>
      <c r="D93" s="236"/>
      <c r="E93" s="236"/>
      <c r="F93" s="236"/>
      <c r="G93" s="236"/>
      <c r="H93" s="236"/>
      <c r="I93" s="236"/>
      <c r="J93" s="236"/>
      <c r="K93" s="236"/>
      <c r="L93" s="236"/>
      <c r="M93" s="236"/>
      <c r="N93" s="236"/>
      <c r="O93" s="236"/>
    </row>
    <row r="94" spans="1:15" x14ac:dyDescent="0.25">
      <c r="A94" s="239"/>
      <c r="B94" s="239" t="s">
        <v>738</v>
      </c>
      <c r="C94" s="247"/>
      <c r="D94" s="247"/>
      <c r="E94" s="247"/>
      <c r="F94" s="247"/>
      <c r="G94" s="247"/>
      <c r="H94" s="247"/>
      <c r="I94" s="247"/>
      <c r="J94" s="247"/>
      <c r="K94" s="247"/>
      <c r="L94" s="247"/>
      <c r="M94" s="247"/>
      <c r="N94" s="247"/>
      <c r="O94" s="247"/>
    </row>
    <row r="95" spans="1:15" x14ac:dyDescent="0.25">
      <c r="A95" s="235"/>
      <c r="B95" s="235"/>
      <c r="C95" s="236"/>
      <c r="D95" s="236"/>
      <c r="E95" s="236"/>
      <c r="F95" s="236"/>
      <c r="G95" s="236"/>
      <c r="H95" s="236"/>
      <c r="I95" s="236"/>
      <c r="J95" s="236"/>
      <c r="K95" s="236"/>
      <c r="L95" s="236"/>
      <c r="M95" s="236"/>
      <c r="N95" s="236"/>
      <c r="O95" s="236"/>
    </row>
    <row r="96" spans="1:15" x14ac:dyDescent="0.25">
      <c r="A96" s="239"/>
      <c r="B96" s="239" t="s">
        <v>739</v>
      </c>
      <c r="C96" s="247"/>
      <c r="D96" s="247"/>
      <c r="E96" s="247"/>
      <c r="F96" s="247"/>
      <c r="G96" s="247"/>
      <c r="H96" s="247"/>
      <c r="I96" s="247"/>
      <c r="J96" s="247"/>
      <c r="K96" s="247"/>
      <c r="L96" s="247"/>
      <c r="M96" s="247"/>
      <c r="N96" s="247"/>
      <c r="O96" s="247"/>
    </row>
    <row r="97" spans="1:15" x14ac:dyDescent="0.25">
      <c r="A97" s="235"/>
      <c r="B97" s="235"/>
      <c r="C97" s="236"/>
      <c r="D97" s="236"/>
      <c r="E97" s="236"/>
      <c r="F97" s="236"/>
      <c r="G97" s="236"/>
      <c r="H97" s="236"/>
      <c r="I97" s="236"/>
      <c r="J97" s="236"/>
      <c r="K97" s="236"/>
      <c r="L97" s="236"/>
      <c r="M97" s="236"/>
      <c r="N97" s="236"/>
      <c r="O97" s="236"/>
    </row>
    <row r="98" spans="1:15" x14ac:dyDescent="0.25">
      <c r="A98" s="239"/>
      <c r="B98" s="239" t="s">
        <v>748</v>
      </c>
      <c r="C98" s="247"/>
      <c r="D98" s="247"/>
      <c r="E98" s="247"/>
      <c r="F98" s="247"/>
      <c r="G98" s="247"/>
      <c r="H98" s="247"/>
      <c r="I98" s="247"/>
      <c r="J98" s="247"/>
      <c r="K98" s="247"/>
      <c r="L98" s="247"/>
      <c r="M98" s="247"/>
      <c r="N98" s="247"/>
      <c r="O98" s="247"/>
    </row>
    <row r="99" spans="1:15" x14ac:dyDescent="0.25">
      <c r="A99" s="235"/>
      <c r="B99" s="235"/>
      <c r="C99" s="236"/>
      <c r="D99" s="236"/>
      <c r="E99" s="236"/>
      <c r="F99" s="236"/>
      <c r="G99" s="236"/>
      <c r="H99" s="236"/>
      <c r="I99" s="236"/>
      <c r="J99" s="236"/>
      <c r="K99" s="236"/>
      <c r="L99" s="236"/>
      <c r="M99" s="236"/>
      <c r="N99" s="236"/>
      <c r="O99" s="236"/>
    </row>
    <row r="100" spans="1:15" x14ac:dyDescent="0.25">
      <c r="A100" s="239"/>
      <c r="B100" s="239" t="s">
        <v>767</v>
      </c>
      <c r="C100" s="247"/>
      <c r="D100" s="247"/>
      <c r="E100" s="247"/>
      <c r="F100" s="247"/>
      <c r="G100" s="247"/>
      <c r="H100" s="247"/>
      <c r="I100" s="247"/>
      <c r="J100" s="247"/>
      <c r="K100" s="247"/>
      <c r="L100" s="247"/>
      <c r="M100" s="247"/>
      <c r="N100" s="247"/>
      <c r="O100" s="247"/>
    </row>
    <row r="101" spans="1:15" x14ac:dyDescent="0.25">
      <c r="A101" s="235"/>
      <c r="B101" s="235"/>
      <c r="C101" s="236"/>
      <c r="D101" s="236"/>
      <c r="E101" s="236"/>
      <c r="F101" s="236"/>
      <c r="G101" s="236"/>
      <c r="H101" s="236"/>
      <c r="I101" s="236"/>
      <c r="J101" s="236"/>
      <c r="K101" s="236"/>
      <c r="L101" s="236"/>
      <c r="M101" s="236"/>
      <c r="N101" s="236"/>
      <c r="O101" s="236"/>
    </row>
    <row r="102" spans="1:15" x14ac:dyDescent="0.25">
      <c r="A102" s="239"/>
      <c r="B102" s="239" t="s">
        <v>783</v>
      </c>
      <c r="C102" s="247"/>
      <c r="D102" s="247"/>
      <c r="E102" s="247"/>
      <c r="F102" s="247"/>
      <c r="G102" s="247"/>
      <c r="H102" s="247"/>
      <c r="I102" s="247"/>
      <c r="J102" s="247"/>
      <c r="K102" s="247"/>
      <c r="L102" s="247"/>
      <c r="M102" s="247"/>
      <c r="N102" s="247"/>
      <c r="O102" s="247"/>
    </row>
    <row r="103" spans="1:15" x14ac:dyDescent="0.25">
      <c r="A103" s="235"/>
      <c r="B103" s="235"/>
      <c r="C103" s="236"/>
      <c r="D103" s="236"/>
      <c r="E103" s="236"/>
      <c r="F103" s="236"/>
      <c r="G103" s="236"/>
      <c r="H103" s="236"/>
      <c r="I103" s="236"/>
      <c r="J103" s="236"/>
      <c r="K103" s="236"/>
      <c r="L103" s="236"/>
      <c r="M103" s="236"/>
      <c r="N103" s="236"/>
      <c r="O103" s="236"/>
    </row>
    <row r="104" spans="1:15" x14ac:dyDescent="0.25">
      <c r="A104" s="239"/>
      <c r="B104" s="239" t="s">
        <v>800</v>
      </c>
      <c r="C104" s="247"/>
      <c r="D104" s="247"/>
      <c r="E104" s="247"/>
      <c r="F104" s="247"/>
      <c r="G104" s="247"/>
      <c r="H104" s="247"/>
      <c r="I104" s="247"/>
      <c r="J104" s="247"/>
      <c r="K104" s="247"/>
      <c r="L104" s="247"/>
      <c r="M104" s="247"/>
      <c r="N104" s="247"/>
      <c r="O104" s="247"/>
    </row>
    <row r="105" spans="1:15" x14ac:dyDescent="0.25">
      <c r="A105" s="239"/>
      <c r="B105" s="239"/>
      <c r="C105" s="240"/>
      <c r="D105" s="240"/>
      <c r="E105" s="240"/>
      <c r="F105" s="240"/>
      <c r="G105" s="240"/>
      <c r="H105" s="240"/>
      <c r="I105" s="240"/>
      <c r="J105" s="240"/>
      <c r="K105" s="240"/>
      <c r="L105" s="240"/>
      <c r="M105" s="240"/>
      <c r="N105" s="240"/>
      <c r="O105" s="240"/>
    </row>
    <row r="106" spans="1:15" x14ac:dyDescent="0.25">
      <c r="A106" s="239"/>
      <c r="B106" s="239" t="s">
        <v>807</v>
      </c>
      <c r="C106" s="247"/>
      <c r="D106" s="247"/>
      <c r="E106" s="247"/>
      <c r="F106" s="247"/>
      <c r="G106" s="247"/>
      <c r="H106" s="247"/>
      <c r="I106" s="247"/>
      <c r="J106" s="247"/>
      <c r="K106" s="247"/>
      <c r="L106" s="247"/>
      <c r="M106" s="247"/>
      <c r="N106" s="247"/>
      <c r="O106" s="247"/>
    </row>
    <row r="107" spans="1:15" x14ac:dyDescent="0.25">
      <c r="A107" s="235"/>
      <c r="B107" s="235"/>
      <c r="C107" s="236"/>
      <c r="D107" s="236"/>
      <c r="E107" s="236"/>
      <c r="F107" s="236"/>
      <c r="G107" s="236"/>
      <c r="H107" s="236"/>
      <c r="I107" s="236"/>
      <c r="J107" s="236"/>
      <c r="K107" s="236"/>
      <c r="L107" s="236"/>
      <c r="M107" s="236"/>
      <c r="N107" s="236"/>
      <c r="O107" s="236"/>
    </row>
    <row r="108" spans="1:15" x14ac:dyDescent="0.25">
      <c r="A108" s="239"/>
      <c r="B108" s="239" t="s">
        <v>811</v>
      </c>
      <c r="C108" s="247"/>
      <c r="D108" s="247"/>
      <c r="E108" s="247"/>
      <c r="F108" s="247"/>
      <c r="G108" s="247"/>
      <c r="H108" s="247"/>
      <c r="I108" s="247"/>
      <c r="J108" s="247"/>
      <c r="K108" s="247"/>
      <c r="L108" s="247"/>
      <c r="M108" s="247"/>
      <c r="N108" s="247"/>
      <c r="O108" s="247"/>
    </row>
    <row r="109" spans="1:15" x14ac:dyDescent="0.25">
      <c r="A109" s="235"/>
      <c r="B109" s="235"/>
      <c r="C109" s="236"/>
      <c r="D109" s="236"/>
      <c r="E109" s="236"/>
      <c r="F109" s="236"/>
      <c r="G109" s="236"/>
      <c r="H109" s="236"/>
      <c r="I109" s="236"/>
      <c r="J109" s="236"/>
      <c r="K109" s="236"/>
      <c r="L109" s="236"/>
      <c r="M109" s="236"/>
      <c r="N109" s="236"/>
      <c r="O109" s="236"/>
    </row>
    <row r="110" spans="1:15" x14ac:dyDescent="0.25">
      <c r="A110" s="239"/>
      <c r="B110" s="239" t="s">
        <v>812</v>
      </c>
      <c r="C110" s="247"/>
      <c r="D110" s="247"/>
      <c r="E110" s="247"/>
      <c r="F110" s="247"/>
      <c r="G110" s="247"/>
      <c r="H110" s="247"/>
      <c r="I110" s="247"/>
      <c r="J110" s="247"/>
      <c r="K110" s="247"/>
      <c r="L110" s="247"/>
      <c r="M110" s="247"/>
      <c r="N110" s="247"/>
      <c r="O110" s="247"/>
    </row>
    <row r="111" spans="1:15" x14ac:dyDescent="0.25">
      <c r="A111" s="235"/>
      <c r="B111" s="235"/>
      <c r="C111" s="236"/>
      <c r="D111" s="236"/>
      <c r="E111" s="236"/>
      <c r="F111" s="236"/>
      <c r="G111" s="236"/>
      <c r="H111" s="236"/>
      <c r="I111" s="236"/>
      <c r="J111" s="236"/>
      <c r="K111" s="236"/>
      <c r="L111" s="236"/>
      <c r="M111" s="236"/>
      <c r="N111" s="236"/>
      <c r="O111" s="236"/>
    </row>
    <row r="112" spans="1:15" x14ac:dyDescent="0.25">
      <c r="A112" s="239"/>
      <c r="B112" s="239" t="s">
        <v>813</v>
      </c>
      <c r="C112" s="240"/>
      <c r="D112" s="240"/>
      <c r="E112" s="240"/>
      <c r="F112" s="240"/>
      <c r="G112" s="240"/>
      <c r="H112" s="240"/>
      <c r="I112" s="240"/>
      <c r="J112" s="240"/>
      <c r="K112" s="240"/>
      <c r="L112" s="240"/>
      <c r="M112" s="240"/>
      <c r="N112" s="240"/>
      <c r="O112" s="240"/>
    </row>
    <row r="113" spans="1:15" x14ac:dyDescent="0.25">
      <c r="A113" s="241" t="s">
        <v>1425</v>
      </c>
      <c r="B113" s="241" t="s">
        <v>1426</v>
      </c>
      <c r="C113" s="242">
        <v>92936.19</v>
      </c>
      <c r="D113" s="242">
        <v>16226.13</v>
      </c>
      <c r="E113" s="242">
        <v>57836.79</v>
      </c>
      <c r="F113" s="242">
        <v>72060.2</v>
      </c>
      <c r="G113" s="243"/>
      <c r="H113" s="243"/>
      <c r="I113" s="243"/>
      <c r="J113" s="243"/>
      <c r="K113" s="243"/>
      <c r="L113" s="243"/>
      <c r="M113" s="243"/>
      <c r="N113" s="243"/>
      <c r="O113" s="242">
        <v>239059.31</v>
      </c>
    </row>
    <row r="114" spans="1:15" x14ac:dyDescent="0.25">
      <c r="A114" s="241" t="s">
        <v>1427</v>
      </c>
      <c r="B114" s="241" t="s">
        <v>1428</v>
      </c>
      <c r="C114" s="242">
        <v>5642.56</v>
      </c>
      <c r="D114" s="242">
        <v>4092.48</v>
      </c>
      <c r="E114" s="242">
        <v>785.61</v>
      </c>
      <c r="F114" s="243"/>
      <c r="G114" s="243"/>
      <c r="H114" s="243"/>
      <c r="I114" s="243"/>
      <c r="J114" s="243"/>
      <c r="K114" s="243"/>
      <c r="L114" s="243"/>
      <c r="M114" s="243"/>
      <c r="N114" s="243"/>
      <c r="O114" s="242">
        <v>10520.65</v>
      </c>
    </row>
    <row r="115" spans="1:15" x14ac:dyDescent="0.25">
      <c r="A115" s="241" t="s">
        <v>1444</v>
      </c>
      <c r="B115" s="241" t="s">
        <v>1445</v>
      </c>
      <c r="C115" s="242">
        <v>696</v>
      </c>
      <c r="D115" s="242">
        <v>2818</v>
      </c>
      <c r="E115" s="242">
        <v>711</v>
      </c>
      <c r="F115" s="243"/>
      <c r="G115" s="243"/>
      <c r="H115" s="243"/>
      <c r="I115" s="243"/>
      <c r="J115" s="243"/>
      <c r="K115" s="243"/>
      <c r="L115" s="243"/>
      <c r="M115" s="243"/>
      <c r="N115" s="243"/>
      <c r="O115" s="242">
        <v>4225</v>
      </c>
    </row>
    <row r="116" spans="1:15" x14ac:dyDescent="0.25">
      <c r="A116" s="241" t="s">
        <v>1446</v>
      </c>
      <c r="B116" s="241" t="s">
        <v>1447</v>
      </c>
      <c r="C116" s="242">
        <v>2940.71</v>
      </c>
      <c r="D116" s="242">
        <v>5119.8500000000004</v>
      </c>
      <c r="E116" s="242">
        <v>4680.5</v>
      </c>
      <c r="F116" s="243"/>
      <c r="G116" s="243"/>
      <c r="H116" s="243"/>
      <c r="I116" s="243"/>
      <c r="J116" s="243"/>
      <c r="K116" s="243"/>
      <c r="L116" s="243"/>
      <c r="M116" s="243"/>
      <c r="N116" s="243"/>
      <c r="O116" s="242">
        <v>12741.06</v>
      </c>
    </row>
    <row r="117" spans="1:15" x14ac:dyDescent="0.25">
      <c r="A117" s="241" t="s">
        <v>1492</v>
      </c>
      <c r="B117" s="241" t="s">
        <v>1493</v>
      </c>
      <c r="C117" s="246"/>
      <c r="D117" s="244">
        <v>15824</v>
      </c>
      <c r="E117" s="244">
        <v>976</v>
      </c>
      <c r="F117" s="244">
        <v>37180.089999999997</v>
      </c>
      <c r="G117" s="246"/>
      <c r="H117" s="246"/>
      <c r="I117" s="246"/>
      <c r="J117" s="246"/>
      <c r="K117" s="246"/>
      <c r="L117" s="246"/>
      <c r="M117" s="246"/>
      <c r="N117" s="246"/>
      <c r="O117" s="244">
        <v>53980.09</v>
      </c>
    </row>
    <row r="118" spans="1:15" x14ac:dyDescent="0.25">
      <c r="A118" s="239"/>
      <c r="B118" s="239" t="s">
        <v>822</v>
      </c>
      <c r="C118" s="245">
        <v>102215.46</v>
      </c>
      <c r="D118" s="245">
        <v>44080.46</v>
      </c>
      <c r="E118" s="245">
        <v>64989.9</v>
      </c>
      <c r="F118" s="245">
        <v>109240.29</v>
      </c>
      <c r="G118" s="240"/>
      <c r="H118" s="240"/>
      <c r="I118" s="240"/>
      <c r="J118" s="240"/>
      <c r="K118" s="240"/>
      <c r="L118" s="240"/>
      <c r="M118" s="240"/>
      <c r="N118" s="240"/>
      <c r="O118" s="245">
        <v>320526.11</v>
      </c>
    </row>
    <row r="119" spans="1:15" x14ac:dyDescent="0.25">
      <c r="A119" s="235"/>
      <c r="B119" s="235"/>
      <c r="C119" s="248"/>
      <c r="D119" s="248"/>
      <c r="E119" s="248"/>
      <c r="F119" s="248"/>
      <c r="G119" s="248"/>
      <c r="H119" s="248"/>
      <c r="I119" s="248"/>
      <c r="J119" s="248"/>
      <c r="K119" s="248"/>
      <c r="L119" s="248"/>
      <c r="M119" s="248"/>
      <c r="N119" s="248"/>
      <c r="O119" s="248"/>
    </row>
    <row r="120" spans="1:15" ht="15.75" thickBot="1" x14ac:dyDescent="0.3">
      <c r="A120" s="239"/>
      <c r="B120" s="239" t="s">
        <v>823</v>
      </c>
      <c r="C120" s="249">
        <v>414738.63</v>
      </c>
      <c r="D120" s="249">
        <v>392735.36</v>
      </c>
      <c r="E120" s="249">
        <v>196650.95</v>
      </c>
      <c r="F120" s="249">
        <v>109240.29</v>
      </c>
      <c r="G120" s="261"/>
      <c r="H120" s="261"/>
      <c r="I120" s="261"/>
      <c r="J120" s="261"/>
      <c r="K120" s="261"/>
      <c r="L120" s="261"/>
      <c r="M120" s="261"/>
      <c r="N120" s="261"/>
      <c r="O120" s="249">
        <v>1113365.23</v>
      </c>
    </row>
    <row r="121" spans="1:15" ht="15.75" thickTop="1" x14ac:dyDescent="0.25">
      <c r="A121" s="235"/>
      <c r="B121" s="235"/>
      <c r="C121" s="236"/>
      <c r="D121" s="236"/>
      <c r="E121" s="236"/>
      <c r="F121" s="236"/>
      <c r="G121" s="236"/>
      <c r="H121" s="236"/>
      <c r="I121" s="236"/>
      <c r="J121" s="236"/>
      <c r="K121" s="236"/>
      <c r="L121" s="236"/>
      <c r="M121" s="236"/>
      <c r="N121" s="236"/>
      <c r="O121" s="236"/>
    </row>
    <row r="122" spans="1:15" x14ac:dyDescent="0.25">
      <c r="A122" s="237"/>
      <c r="B122" s="237" t="s">
        <v>824</v>
      </c>
      <c r="C122" s="238"/>
      <c r="D122" s="238"/>
      <c r="E122" s="238"/>
      <c r="F122" s="238"/>
      <c r="G122" s="238"/>
      <c r="H122" s="238"/>
      <c r="I122" s="238"/>
      <c r="J122" s="238"/>
      <c r="K122" s="238"/>
      <c r="L122" s="238"/>
      <c r="M122" s="238"/>
      <c r="N122" s="238"/>
      <c r="O122" s="238"/>
    </row>
    <row r="123" spans="1:15" x14ac:dyDescent="0.25">
      <c r="A123" s="235"/>
      <c r="B123" s="235"/>
      <c r="C123" s="236"/>
      <c r="D123" s="236"/>
      <c r="E123" s="236"/>
      <c r="F123" s="236"/>
      <c r="G123" s="236"/>
      <c r="H123" s="236"/>
      <c r="I123" s="236"/>
      <c r="J123" s="236"/>
      <c r="K123" s="236"/>
      <c r="L123" s="236"/>
      <c r="M123" s="236"/>
      <c r="N123" s="236"/>
      <c r="O123" s="236"/>
    </row>
    <row r="124" spans="1:15" x14ac:dyDescent="0.25">
      <c r="A124" s="239"/>
      <c r="B124" s="239" t="s">
        <v>812</v>
      </c>
      <c r="C124" s="247"/>
      <c r="D124" s="247"/>
      <c r="E124" s="247"/>
      <c r="F124" s="247"/>
      <c r="G124" s="247"/>
      <c r="H124" s="247"/>
      <c r="I124" s="247"/>
      <c r="J124" s="247"/>
      <c r="K124" s="247"/>
      <c r="L124" s="247"/>
      <c r="M124" s="247"/>
      <c r="N124" s="247"/>
      <c r="O124" s="247"/>
    </row>
    <row r="125" spans="1:15" x14ac:dyDescent="0.25">
      <c r="A125" s="235"/>
      <c r="B125" s="235"/>
      <c r="C125" s="236"/>
      <c r="D125" s="236"/>
      <c r="E125" s="236"/>
      <c r="F125" s="236"/>
      <c r="G125" s="236"/>
      <c r="H125" s="236"/>
      <c r="I125" s="236"/>
      <c r="J125" s="236"/>
      <c r="K125" s="236"/>
      <c r="L125" s="236"/>
      <c r="M125" s="236"/>
      <c r="N125" s="236"/>
      <c r="O125" s="236"/>
    </row>
    <row r="126" spans="1:15" x14ac:dyDescent="0.25">
      <c r="A126" s="235"/>
      <c r="B126" s="235"/>
      <c r="C126" s="236"/>
      <c r="D126" s="236"/>
      <c r="E126" s="236"/>
      <c r="F126" s="236"/>
      <c r="G126" s="236"/>
      <c r="H126" s="236"/>
      <c r="I126" s="236"/>
      <c r="J126" s="236"/>
      <c r="K126" s="236"/>
      <c r="L126" s="236"/>
      <c r="M126" s="236"/>
      <c r="N126" s="236"/>
      <c r="O126" s="236"/>
    </row>
    <row r="127" spans="1:15" x14ac:dyDescent="0.25">
      <c r="A127" s="239"/>
      <c r="B127" s="239" t="s">
        <v>827</v>
      </c>
      <c r="C127" s="247"/>
      <c r="D127" s="247"/>
      <c r="E127" s="247"/>
      <c r="F127" s="247"/>
      <c r="G127" s="247"/>
      <c r="H127" s="247"/>
      <c r="I127" s="247"/>
      <c r="J127" s="247"/>
      <c r="K127" s="247"/>
      <c r="L127" s="247"/>
      <c r="M127" s="247"/>
      <c r="N127" s="247"/>
      <c r="O127" s="247"/>
    </row>
    <row r="128" spans="1:15" x14ac:dyDescent="0.25">
      <c r="A128" s="235"/>
      <c r="B128" s="235"/>
      <c r="C128" s="236"/>
      <c r="D128" s="236"/>
      <c r="E128" s="236"/>
      <c r="F128" s="236"/>
      <c r="G128" s="236"/>
      <c r="H128" s="236"/>
      <c r="I128" s="236"/>
      <c r="J128" s="236"/>
      <c r="K128" s="236"/>
      <c r="L128" s="236"/>
      <c r="M128" s="236"/>
      <c r="N128" s="236"/>
      <c r="O128" s="236"/>
    </row>
    <row r="129" spans="1:15" x14ac:dyDescent="0.25">
      <c r="A129" s="239"/>
      <c r="B129" s="239" t="s">
        <v>828</v>
      </c>
      <c r="C129" s="247"/>
      <c r="D129" s="247"/>
      <c r="E129" s="247"/>
      <c r="F129" s="247"/>
      <c r="G129" s="247"/>
      <c r="H129" s="247"/>
      <c r="I129" s="247"/>
      <c r="J129" s="247"/>
      <c r="K129" s="247"/>
      <c r="L129" s="247"/>
      <c r="M129" s="247"/>
      <c r="N129" s="247"/>
      <c r="O129" s="247"/>
    </row>
    <row r="130" spans="1:15" x14ac:dyDescent="0.25">
      <c r="A130" s="235"/>
      <c r="B130" s="235"/>
      <c r="C130" s="236"/>
      <c r="D130" s="236"/>
      <c r="E130" s="236"/>
      <c r="F130" s="236"/>
      <c r="G130" s="236"/>
      <c r="H130" s="236"/>
      <c r="I130" s="236"/>
      <c r="J130" s="236"/>
      <c r="K130" s="236"/>
      <c r="L130" s="236"/>
      <c r="M130" s="236"/>
      <c r="N130" s="236"/>
      <c r="O130" s="236"/>
    </row>
    <row r="131" spans="1:15" x14ac:dyDescent="0.25">
      <c r="A131" s="239"/>
      <c r="B131" s="239" t="s">
        <v>829</v>
      </c>
      <c r="C131" s="240"/>
      <c r="D131" s="240"/>
      <c r="E131" s="240"/>
      <c r="F131" s="240"/>
      <c r="G131" s="240"/>
      <c r="H131" s="240"/>
      <c r="I131" s="240"/>
      <c r="J131" s="240"/>
      <c r="K131" s="240"/>
      <c r="L131" s="240"/>
      <c r="M131" s="240"/>
      <c r="N131" s="240"/>
      <c r="O131" s="240"/>
    </row>
    <row r="132" spans="1:15" x14ac:dyDescent="0.25">
      <c r="A132" s="241" t="s">
        <v>832</v>
      </c>
      <c r="B132" s="241" t="s">
        <v>833</v>
      </c>
      <c r="C132" s="242">
        <v>6907.15</v>
      </c>
      <c r="D132" s="242">
        <v>6496.39</v>
      </c>
      <c r="E132" s="242">
        <v>4292.63</v>
      </c>
      <c r="F132" s="243"/>
      <c r="G132" s="243"/>
      <c r="H132" s="243"/>
      <c r="I132" s="243"/>
      <c r="J132" s="243"/>
      <c r="K132" s="243"/>
      <c r="L132" s="243"/>
      <c r="M132" s="243"/>
      <c r="N132" s="243"/>
      <c r="O132" s="242">
        <v>17696.169999999998</v>
      </c>
    </row>
    <row r="133" spans="1:15" x14ac:dyDescent="0.25">
      <c r="A133" s="241" t="s">
        <v>834</v>
      </c>
      <c r="B133" s="241" t="s">
        <v>835</v>
      </c>
      <c r="C133" s="242">
        <v>2963.85</v>
      </c>
      <c r="D133" s="242">
        <v>2361.14</v>
      </c>
      <c r="E133" s="242">
        <v>3227.28</v>
      </c>
      <c r="F133" s="243"/>
      <c r="G133" s="243"/>
      <c r="H133" s="243"/>
      <c r="I133" s="243"/>
      <c r="J133" s="243"/>
      <c r="K133" s="243"/>
      <c r="L133" s="243"/>
      <c r="M133" s="243"/>
      <c r="N133" s="243"/>
      <c r="O133" s="242">
        <v>8552.27</v>
      </c>
    </row>
    <row r="134" spans="1:15" x14ac:dyDescent="0.25">
      <c r="A134" s="241" t="s">
        <v>842</v>
      </c>
      <c r="B134" s="241" t="s">
        <v>843</v>
      </c>
      <c r="C134" s="242">
        <v>484.98</v>
      </c>
      <c r="D134" s="242">
        <v>2789.76</v>
      </c>
      <c r="E134" s="242">
        <v>3885.15</v>
      </c>
      <c r="F134" s="243"/>
      <c r="G134" s="243"/>
      <c r="H134" s="243"/>
      <c r="I134" s="243"/>
      <c r="J134" s="243"/>
      <c r="K134" s="243"/>
      <c r="L134" s="243"/>
      <c r="M134" s="243"/>
      <c r="N134" s="243"/>
      <c r="O134" s="242">
        <v>7159.89</v>
      </c>
    </row>
    <row r="135" spans="1:15" x14ac:dyDescent="0.25">
      <c r="A135" s="241" t="s">
        <v>844</v>
      </c>
      <c r="B135" s="241" t="s">
        <v>845</v>
      </c>
      <c r="C135" s="242">
        <v>6311.2</v>
      </c>
      <c r="D135" s="242">
        <v>3516.15</v>
      </c>
      <c r="E135" s="242">
        <v>2768.35</v>
      </c>
      <c r="F135" s="243"/>
      <c r="G135" s="243"/>
      <c r="H135" s="243"/>
      <c r="I135" s="243"/>
      <c r="J135" s="243"/>
      <c r="K135" s="243"/>
      <c r="L135" s="243"/>
      <c r="M135" s="243"/>
      <c r="N135" s="243"/>
      <c r="O135" s="242">
        <v>12595.7</v>
      </c>
    </row>
    <row r="136" spans="1:15" x14ac:dyDescent="0.25">
      <c r="A136" s="241" t="s">
        <v>846</v>
      </c>
      <c r="B136" s="241" t="s">
        <v>847</v>
      </c>
      <c r="C136" s="242">
        <v>792</v>
      </c>
      <c r="D136" s="242">
        <v>6475</v>
      </c>
      <c r="E136" s="242">
        <v>550</v>
      </c>
      <c r="F136" s="243"/>
      <c r="G136" s="243"/>
      <c r="H136" s="243"/>
      <c r="I136" s="243"/>
      <c r="J136" s="243"/>
      <c r="K136" s="243"/>
      <c r="L136" s="243"/>
      <c r="M136" s="243"/>
      <c r="N136" s="243"/>
      <c r="O136" s="242">
        <v>7817</v>
      </c>
    </row>
    <row r="137" spans="1:15" x14ac:dyDescent="0.25">
      <c r="A137" s="241" t="s">
        <v>849</v>
      </c>
      <c r="B137" s="241" t="s">
        <v>850</v>
      </c>
      <c r="C137" s="242">
        <v>772.02</v>
      </c>
      <c r="D137" s="242">
        <v>546.42999999999995</v>
      </c>
      <c r="E137" s="242">
        <v>878.98</v>
      </c>
      <c r="F137" s="243"/>
      <c r="G137" s="243"/>
      <c r="H137" s="243"/>
      <c r="I137" s="243"/>
      <c r="J137" s="243"/>
      <c r="K137" s="243"/>
      <c r="L137" s="243"/>
      <c r="M137" s="243"/>
      <c r="N137" s="243"/>
      <c r="O137" s="242">
        <v>2197.4299999999998</v>
      </c>
    </row>
    <row r="138" spans="1:15" x14ac:dyDescent="0.25">
      <c r="A138" s="241" t="s">
        <v>851</v>
      </c>
      <c r="B138" s="241" t="s">
        <v>852</v>
      </c>
      <c r="C138" s="242">
        <v>-14.42</v>
      </c>
      <c r="D138" s="242">
        <v>1868.94</v>
      </c>
      <c r="E138" s="242">
        <v>-143.57</v>
      </c>
      <c r="F138" s="243"/>
      <c r="G138" s="243"/>
      <c r="H138" s="243"/>
      <c r="I138" s="243"/>
      <c r="J138" s="243"/>
      <c r="K138" s="243"/>
      <c r="L138" s="243"/>
      <c r="M138" s="243"/>
      <c r="N138" s="243"/>
      <c r="O138" s="242">
        <v>1710.95</v>
      </c>
    </row>
    <row r="139" spans="1:15" x14ac:dyDescent="0.25">
      <c r="A139" s="241" t="s">
        <v>853</v>
      </c>
      <c r="B139" s="241" t="s">
        <v>825</v>
      </c>
      <c r="C139" s="242">
        <v>1475.86</v>
      </c>
      <c r="D139" s="242">
        <v>2529.7399999999998</v>
      </c>
      <c r="E139" s="242">
        <v>1133.71</v>
      </c>
      <c r="F139" s="243"/>
      <c r="G139" s="243"/>
      <c r="H139" s="243"/>
      <c r="I139" s="243"/>
      <c r="J139" s="243"/>
      <c r="K139" s="243"/>
      <c r="L139" s="243"/>
      <c r="M139" s="243"/>
      <c r="N139" s="243"/>
      <c r="O139" s="242">
        <v>5139.3100000000004</v>
      </c>
    </row>
    <row r="140" spans="1:15" x14ac:dyDescent="0.25">
      <c r="A140" s="241" t="s">
        <v>856</v>
      </c>
      <c r="B140" s="241" t="s">
        <v>857</v>
      </c>
      <c r="C140" s="242">
        <v>160.16999999999999</v>
      </c>
      <c r="D140" s="242">
        <v>102.56</v>
      </c>
      <c r="E140" s="242">
        <v>89</v>
      </c>
      <c r="F140" s="243"/>
      <c r="G140" s="243"/>
      <c r="H140" s="243"/>
      <c r="I140" s="243"/>
      <c r="J140" s="243"/>
      <c r="K140" s="243"/>
      <c r="L140" s="243"/>
      <c r="M140" s="243"/>
      <c r="N140" s="243"/>
      <c r="O140" s="242">
        <v>351.73</v>
      </c>
    </row>
    <row r="141" spans="1:15" x14ac:dyDescent="0.25">
      <c r="A141" s="241" t="s">
        <v>858</v>
      </c>
      <c r="B141" s="241" t="s">
        <v>859</v>
      </c>
      <c r="C141" s="242">
        <v>3060</v>
      </c>
      <c r="D141" s="242">
        <v>3060</v>
      </c>
      <c r="E141" s="242">
        <v>3060</v>
      </c>
      <c r="F141" s="243"/>
      <c r="G141" s="243"/>
      <c r="H141" s="243"/>
      <c r="I141" s="243"/>
      <c r="J141" s="243"/>
      <c r="K141" s="243"/>
      <c r="L141" s="243"/>
      <c r="M141" s="243"/>
      <c r="N141" s="243"/>
      <c r="O141" s="242">
        <v>9180</v>
      </c>
    </row>
    <row r="142" spans="1:15" x14ac:dyDescent="0.25">
      <c r="A142" s="241" t="s">
        <v>860</v>
      </c>
      <c r="B142" s="241" t="s">
        <v>861</v>
      </c>
      <c r="C142" s="242">
        <v>1440.26</v>
      </c>
      <c r="D142" s="242">
        <v>1440.26</v>
      </c>
      <c r="E142" s="242">
        <v>1870.33</v>
      </c>
      <c r="F142" s="243"/>
      <c r="G142" s="243"/>
      <c r="H142" s="243"/>
      <c r="I142" s="243"/>
      <c r="J142" s="243"/>
      <c r="K142" s="243"/>
      <c r="L142" s="243"/>
      <c r="M142" s="243"/>
      <c r="N142" s="243"/>
      <c r="O142" s="242">
        <v>4750.8500000000004</v>
      </c>
    </row>
    <row r="143" spans="1:15" x14ac:dyDescent="0.25">
      <c r="A143" s="241" t="s">
        <v>1416</v>
      </c>
      <c r="B143" s="241" t="s">
        <v>1417</v>
      </c>
      <c r="C143" s="242">
        <v>3680.42</v>
      </c>
      <c r="D143" s="242">
        <v>9473.14</v>
      </c>
      <c r="E143" s="242">
        <v>5998.87</v>
      </c>
      <c r="F143" s="243"/>
      <c r="G143" s="243"/>
      <c r="H143" s="243"/>
      <c r="I143" s="243"/>
      <c r="J143" s="243"/>
      <c r="K143" s="243"/>
      <c r="L143" s="243"/>
      <c r="M143" s="243"/>
      <c r="N143" s="243"/>
      <c r="O143" s="242">
        <v>19152.43</v>
      </c>
    </row>
    <row r="144" spans="1:15" x14ac:dyDescent="0.25">
      <c r="A144" s="241" t="s">
        <v>884</v>
      </c>
      <c r="B144" s="241" t="s">
        <v>885</v>
      </c>
      <c r="C144" s="243"/>
      <c r="D144" s="242">
        <v>121.32</v>
      </c>
      <c r="E144" s="243"/>
      <c r="F144" s="243"/>
      <c r="G144" s="243"/>
      <c r="H144" s="243"/>
      <c r="I144" s="243"/>
      <c r="J144" s="243"/>
      <c r="K144" s="243"/>
      <c r="L144" s="243"/>
      <c r="M144" s="243"/>
      <c r="N144" s="243"/>
      <c r="O144" s="242">
        <v>121.32</v>
      </c>
    </row>
    <row r="145" spans="1:15" x14ac:dyDescent="0.25">
      <c r="A145" s="241" t="s">
        <v>888</v>
      </c>
      <c r="B145" s="241" t="s">
        <v>889</v>
      </c>
      <c r="C145" s="246"/>
      <c r="D145" s="246"/>
      <c r="E145" s="244">
        <v>53.5</v>
      </c>
      <c r="F145" s="246"/>
      <c r="G145" s="246"/>
      <c r="H145" s="246"/>
      <c r="I145" s="246"/>
      <c r="J145" s="246"/>
      <c r="K145" s="246"/>
      <c r="L145" s="246"/>
      <c r="M145" s="246"/>
      <c r="N145" s="246"/>
      <c r="O145" s="244">
        <v>53.5</v>
      </c>
    </row>
    <row r="146" spans="1:15" x14ac:dyDescent="0.25">
      <c r="A146" s="239"/>
      <c r="B146" s="239" t="s">
        <v>894</v>
      </c>
      <c r="C146" s="245">
        <v>28033.49</v>
      </c>
      <c r="D146" s="245">
        <v>40780.83</v>
      </c>
      <c r="E146" s="245">
        <v>27664.23</v>
      </c>
      <c r="F146" s="240"/>
      <c r="G146" s="240"/>
      <c r="H146" s="240"/>
      <c r="I146" s="240"/>
      <c r="J146" s="240"/>
      <c r="K146" s="240"/>
      <c r="L146" s="240"/>
      <c r="M146" s="240"/>
      <c r="N146" s="240"/>
      <c r="O146" s="245">
        <v>96478.55</v>
      </c>
    </row>
    <row r="147" spans="1:15" x14ac:dyDescent="0.25">
      <c r="A147" s="235"/>
      <c r="B147" s="235"/>
      <c r="C147" s="236"/>
      <c r="D147" s="236"/>
      <c r="E147" s="236"/>
      <c r="F147" s="236"/>
      <c r="G147" s="236"/>
      <c r="H147" s="236"/>
      <c r="I147" s="236"/>
      <c r="J147" s="236"/>
      <c r="K147" s="236"/>
      <c r="L147" s="236"/>
      <c r="M147" s="236"/>
      <c r="N147" s="236"/>
      <c r="O147" s="236"/>
    </row>
    <row r="148" spans="1:15" x14ac:dyDescent="0.25">
      <c r="A148" s="239"/>
      <c r="B148" s="239" t="s">
        <v>895</v>
      </c>
      <c r="C148" s="247"/>
      <c r="D148" s="247"/>
      <c r="E148" s="247"/>
      <c r="F148" s="247"/>
      <c r="G148" s="247"/>
      <c r="H148" s="247"/>
      <c r="I148" s="247"/>
      <c r="J148" s="247"/>
      <c r="K148" s="247"/>
      <c r="L148" s="247"/>
      <c r="M148" s="247"/>
      <c r="N148" s="247"/>
      <c r="O148" s="247"/>
    </row>
    <row r="149" spans="1:15" x14ac:dyDescent="0.25">
      <c r="A149" s="235"/>
      <c r="B149" s="235"/>
      <c r="C149" s="236"/>
      <c r="D149" s="236"/>
      <c r="E149" s="236"/>
      <c r="F149" s="236"/>
      <c r="G149" s="236"/>
      <c r="H149" s="236"/>
      <c r="I149" s="236"/>
      <c r="J149" s="236"/>
      <c r="K149" s="236"/>
      <c r="L149" s="236"/>
      <c r="M149" s="236"/>
      <c r="N149" s="236"/>
      <c r="O149" s="236"/>
    </row>
    <row r="150" spans="1:15" x14ac:dyDescent="0.25">
      <c r="A150" s="239"/>
      <c r="B150" s="239" t="s">
        <v>896</v>
      </c>
      <c r="C150" s="247"/>
      <c r="D150" s="247"/>
      <c r="E150" s="247"/>
      <c r="F150" s="247"/>
      <c r="G150" s="247"/>
      <c r="H150" s="247"/>
      <c r="I150" s="247"/>
      <c r="J150" s="247"/>
      <c r="K150" s="247"/>
      <c r="L150" s="247"/>
      <c r="M150" s="247"/>
      <c r="N150" s="247"/>
      <c r="O150" s="247"/>
    </row>
    <row r="151" spans="1:15" x14ac:dyDescent="0.25">
      <c r="A151" s="235"/>
      <c r="B151" s="235"/>
      <c r="C151" s="236"/>
      <c r="D151" s="236"/>
      <c r="E151" s="236"/>
      <c r="F151" s="236"/>
      <c r="G151" s="236"/>
      <c r="H151" s="236"/>
      <c r="I151" s="236"/>
      <c r="J151" s="236"/>
      <c r="K151" s="236"/>
      <c r="L151" s="236"/>
      <c r="M151" s="236"/>
      <c r="N151" s="236"/>
      <c r="O151" s="236"/>
    </row>
    <row r="152" spans="1:15" x14ac:dyDescent="0.25">
      <c r="A152" s="239"/>
      <c r="B152" s="239" t="s">
        <v>897</v>
      </c>
      <c r="C152" s="240"/>
      <c r="D152" s="240"/>
      <c r="E152" s="240"/>
      <c r="F152" s="240"/>
      <c r="G152" s="240"/>
      <c r="H152" s="240"/>
      <c r="I152" s="240"/>
      <c r="J152" s="240"/>
      <c r="K152" s="240"/>
      <c r="L152" s="240"/>
      <c r="M152" s="240"/>
      <c r="N152" s="240"/>
      <c r="O152" s="240"/>
    </row>
    <row r="153" spans="1:15" x14ac:dyDescent="0.25">
      <c r="A153" s="241" t="s">
        <v>900</v>
      </c>
      <c r="B153" s="241" t="s">
        <v>901</v>
      </c>
      <c r="C153" s="242">
        <v>15053.42</v>
      </c>
      <c r="D153" s="242">
        <v>12355.24</v>
      </c>
      <c r="E153" s="242">
        <v>1190.6400000000001</v>
      </c>
      <c r="F153" s="243"/>
      <c r="G153" s="243"/>
      <c r="H153" s="243"/>
      <c r="I153" s="243"/>
      <c r="J153" s="243"/>
      <c r="K153" s="243"/>
      <c r="L153" s="243"/>
      <c r="M153" s="243"/>
      <c r="N153" s="243"/>
      <c r="O153" s="242">
        <v>28599.3</v>
      </c>
    </row>
    <row r="154" spans="1:15" x14ac:dyDescent="0.25">
      <c r="A154" s="241" t="s">
        <v>902</v>
      </c>
      <c r="B154" s="241" t="s">
        <v>903</v>
      </c>
      <c r="C154" s="242">
        <v>2371.62</v>
      </c>
      <c r="D154" s="242">
        <v>697.75</v>
      </c>
      <c r="E154" s="242">
        <v>678.75</v>
      </c>
      <c r="F154" s="243"/>
      <c r="G154" s="243"/>
      <c r="H154" s="243"/>
      <c r="I154" s="243"/>
      <c r="J154" s="243"/>
      <c r="K154" s="243"/>
      <c r="L154" s="243"/>
      <c r="M154" s="243"/>
      <c r="N154" s="243"/>
      <c r="O154" s="242">
        <v>3748.12</v>
      </c>
    </row>
    <row r="155" spans="1:15" x14ac:dyDescent="0.25">
      <c r="A155" s="241" t="s">
        <v>904</v>
      </c>
      <c r="B155" s="241" t="s">
        <v>905</v>
      </c>
      <c r="C155" s="242">
        <v>8306.23</v>
      </c>
      <c r="D155" s="242">
        <v>-95.46</v>
      </c>
      <c r="E155" s="242">
        <v>-618.91</v>
      </c>
      <c r="F155" s="243"/>
      <c r="G155" s="243"/>
      <c r="H155" s="243"/>
      <c r="I155" s="243"/>
      <c r="J155" s="243"/>
      <c r="K155" s="243"/>
      <c r="L155" s="243"/>
      <c r="M155" s="243"/>
      <c r="N155" s="243"/>
      <c r="O155" s="242">
        <v>7591.86</v>
      </c>
    </row>
    <row r="156" spans="1:15" x14ac:dyDescent="0.25">
      <c r="A156" s="241" t="s">
        <v>909</v>
      </c>
      <c r="B156" s="241" t="s">
        <v>910</v>
      </c>
      <c r="C156" s="242">
        <v>1794.23</v>
      </c>
      <c r="D156" s="242">
        <v>1870.31</v>
      </c>
      <c r="E156" s="242">
        <v>2227.7800000000002</v>
      </c>
      <c r="F156" s="243"/>
      <c r="G156" s="243"/>
      <c r="H156" s="243"/>
      <c r="I156" s="243"/>
      <c r="J156" s="243"/>
      <c r="K156" s="243"/>
      <c r="L156" s="243"/>
      <c r="M156" s="243"/>
      <c r="N156" s="243"/>
      <c r="O156" s="242">
        <v>5892.32</v>
      </c>
    </row>
    <row r="157" spans="1:15" x14ac:dyDescent="0.25">
      <c r="A157" s="241" t="s">
        <v>913</v>
      </c>
      <c r="B157" s="241" t="s">
        <v>914</v>
      </c>
      <c r="C157" s="242">
        <v>26020.1</v>
      </c>
      <c r="D157" s="242">
        <v>15945.03</v>
      </c>
      <c r="E157" s="242">
        <v>13409.65</v>
      </c>
      <c r="F157" s="243"/>
      <c r="G157" s="243"/>
      <c r="H157" s="243"/>
      <c r="I157" s="243"/>
      <c r="J157" s="243"/>
      <c r="K157" s="243"/>
      <c r="L157" s="243"/>
      <c r="M157" s="243"/>
      <c r="N157" s="243"/>
      <c r="O157" s="242">
        <v>55374.78</v>
      </c>
    </row>
    <row r="158" spans="1:15" x14ac:dyDescent="0.25">
      <c r="A158" s="241" t="s">
        <v>915</v>
      </c>
      <c r="B158" s="241" t="s">
        <v>847</v>
      </c>
      <c r="C158" s="242">
        <v>3300</v>
      </c>
      <c r="D158" s="242">
        <v>3600</v>
      </c>
      <c r="E158" s="242">
        <v>2083</v>
      </c>
      <c r="F158" s="243"/>
      <c r="G158" s="243"/>
      <c r="H158" s="243"/>
      <c r="I158" s="243"/>
      <c r="J158" s="243"/>
      <c r="K158" s="243"/>
      <c r="L158" s="243"/>
      <c r="M158" s="243"/>
      <c r="N158" s="243"/>
      <c r="O158" s="242">
        <v>8983</v>
      </c>
    </row>
    <row r="159" spans="1:15" x14ac:dyDescent="0.25">
      <c r="A159" s="241" t="s">
        <v>917</v>
      </c>
      <c r="B159" s="241" t="s">
        <v>850</v>
      </c>
      <c r="C159" s="242">
        <v>7089.48</v>
      </c>
      <c r="D159" s="242">
        <v>5535.58</v>
      </c>
      <c r="E159" s="242">
        <v>-388.38</v>
      </c>
      <c r="F159" s="243"/>
      <c r="G159" s="243"/>
      <c r="H159" s="243"/>
      <c r="I159" s="243"/>
      <c r="J159" s="243"/>
      <c r="K159" s="243"/>
      <c r="L159" s="243"/>
      <c r="M159" s="243"/>
      <c r="N159" s="243"/>
      <c r="O159" s="242">
        <v>12236.68</v>
      </c>
    </row>
    <row r="160" spans="1:15" x14ac:dyDescent="0.25">
      <c r="A160" s="241" t="s">
        <v>918</v>
      </c>
      <c r="B160" s="241" t="s">
        <v>852</v>
      </c>
      <c r="C160" s="242">
        <v>1107.5899999999999</v>
      </c>
      <c r="D160" s="242">
        <v>5652.67</v>
      </c>
      <c r="E160" s="242">
        <v>2471.5300000000002</v>
      </c>
      <c r="F160" s="243"/>
      <c r="G160" s="243"/>
      <c r="H160" s="243"/>
      <c r="I160" s="243"/>
      <c r="J160" s="243"/>
      <c r="K160" s="243"/>
      <c r="L160" s="243"/>
      <c r="M160" s="243"/>
      <c r="N160" s="243"/>
      <c r="O160" s="242">
        <v>9231.7900000000009</v>
      </c>
    </row>
    <row r="161" spans="1:15" x14ac:dyDescent="0.25">
      <c r="A161" s="241" t="s">
        <v>919</v>
      </c>
      <c r="B161" s="241" t="s">
        <v>825</v>
      </c>
      <c r="C161" s="242">
        <v>5177.1499999999996</v>
      </c>
      <c r="D161" s="242">
        <v>5479.29</v>
      </c>
      <c r="E161" s="242">
        <v>2977.12</v>
      </c>
      <c r="F161" s="243"/>
      <c r="G161" s="243"/>
      <c r="H161" s="243"/>
      <c r="I161" s="243"/>
      <c r="J161" s="243"/>
      <c r="K161" s="243"/>
      <c r="L161" s="243"/>
      <c r="M161" s="243"/>
      <c r="N161" s="243"/>
      <c r="O161" s="242">
        <v>13633.56</v>
      </c>
    </row>
    <row r="162" spans="1:15" x14ac:dyDescent="0.25">
      <c r="A162" s="241" t="s">
        <v>920</v>
      </c>
      <c r="B162" s="241" t="s">
        <v>855</v>
      </c>
      <c r="C162" s="242">
        <v>19286.59</v>
      </c>
      <c r="D162" s="242">
        <v>92909.59</v>
      </c>
      <c r="E162" s="242">
        <v>15611.82</v>
      </c>
      <c r="F162" s="243"/>
      <c r="G162" s="243"/>
      <c r="H162" s="243"/>
      <c r="I162" s="243"/>
      <c r="J162" s="243"/>
      <c r="K162" s="243"/>
      <c r="L162" s="243"/>
      <c r="M162" s="243"/>
      <c r="N162" s="243"/>
      <c r="O162" s="242">
        <v>127808</v>
      </c>
    </row>
    <row r="163" spans="1:15" x14ac:dyDescent="0.25">
      <c r="A163" s="241" t="s">
        <v>921</v>
      </c>
      <c r="B163" s="241" t="s">
        <v>922</v>
      </c>
      <c r="C163" s="242">
        <v>-211.3</v>
      </c>
      <c r="D163" s="242">
        <v>-58.69</v>
      </c>
      <c r="E163" s="243"/>
      <c r="F163" s="243"/>
      <c r="G163" s="243"/>
      <c r="H163" s="243"/>
      <c r="I163" s="243"/>
      <c r="J163" s="243"/>
      <c r="K163" s="243"/>
      <c r="L163" s="243"/>
      <c r="M163" s="243"/>
      <c r="N163" s="243"/>
      <c r="O163" s="242">
        <v>-269.99</v>
      </c>
    </row>
    <row r="164" spans="1:15" x14ac:dyDescent="0.25">
      <c r="A164" s="241" t="s">
        <v>1429</v>
      </c>
      <c r="B164" s="241" t="s">
        <v>1417</v>
      </c>
      <c r="C164" s="242">
        <v>4347.53</v>
      </c>
      <c r="D164" s="242">
        <v>27010.799999999999</v>
      </c>
      <c r="E164" s="242">
        <v>18327.73</v>
      </c>
      <c r="F164" s="243"/>
      <c r="G164" s="243"/>
      <c r="H164" s="243"/>
      <c r="I164" s="243"/>
      <c r="J164" s="243"/>
      <c r="K164" s="243"/>
      <c r="L164" s="243"/>
      <c r="M164" s="243"/>
      <c r="N164" s="243"/>
      <c r="O164" s="242">
        <v>49686.06</v>
      </c>
    </row>
    <row r="165" spans="1:15" x14ac:dyDescent="0.25">
      <c r="A165" s="241" t="s">
        <v>932</v>
      </c>
      <c r="B165" s="241" t="s">
        <v>890</v>
      </c>
      <c r="C165" s="244">
        <v>83.4</v>
      </c>
      <c r="D165" s="244">
        <v>83.4</v>
      </c>
      <c r="E165" s="244">
        <v>83.39</v>
      </c>
      <c r="F165" s="246"/>
      <c r="G165" s="246"/>
      <c r="H165" s="246"/>
      <c r="I165" s="246"/>
      <c r="J165" s="246"/>
      <c r="K165" s="246"/>
      <c r="L165" s="246"/>
      <c r="M165" s="246"/>
      <c r="N165" s="246"/>
      <c r="O165" s="244">
        <v>250.19</v>
      </c>
    </row>
    <row r="166" spans="1:15" x14ac:dyDescent="0.25">
      <c r="A166" s="239"/>
      <c r="B166" s="239" t="s">
        <v>933</v>
      </c>
      <c r="C166" s="245">
        <v>93726.04</v>
      </c>
      <c r="D166" s="245">
        <v>170985.51</v>
      </c>
      <c r="E166" s="245">
        <v>58054.12</v>
      </c>
      <c r="F166" s="240"/>
      <c r="G166" s="240"/>
      <c r="H166" s="240"/>
      <c r="I166" s="240"/>
      <c r="J166" s="240"/>
      <c r="K166" s="240"/>
      <c r="L166" s="240"/>
      <c r="M166" s="240"/>
      <c r="N166" s="240"/>
      <c r="O166" s="245">
        <v>322765.67</v>
      </c>
    </row>
    <row r="167" spans="1:15" x14ac:dyDescent="0.25">
      <c r="A167" s="235"/>
      <c r="B167" s="235"/>
      <c r="C167" s="236"/>
      <c r="D167" s="236"/>
      <c r="E167" s="236"/>
      <c r="F167" s="236"/>
      <c r="G167" s="236"/>
      <c r="H167" s="236"/>
      <c r="I167" s="236"/>
      <c r="J167" s="236"/>
      <c r="K167" s="236"/>
      <c r="L167" s="236"/>
      <c r="M167" s="236"/>
      <c r="N167" s="236"/>
      <c r="O167" s="236"/>
    </row>
    <row r="168" spans="1:15" x14ac:dyDescent="0.25">
      <c r="A168" s="235"/>
      <c r="B168" s="235"/>
      <c r="C168" s="248"/>
      <c r="D168" s="248"/>
      <c r="E168" s="248"/>
      <c r="F168" s="248"/>
      <c r="G168" s="248"/>
      <c r="H168" s="248"/>
      <c r="I168" s="248"/>
      <c r="J168" s="248"/>
      <c r="K168" s="248"/>
      <c r="L168" s="248"/>
      <c r="M168" s="248"/>
      <c r="N168" s="248"/>
      <c r="O168" s="248"/>
    </row>
    <row r="169" spans="1:15" x14ac:dyDescent="0.25">
      <c r="A169" s="239"/>
      <c r="B169" s="239" t="s">
        <v>934</v>
      </c>
      <c r="C169" s="245">
        <v>93726.04</v>
      </c>
      <c r="D169" s="245">
        <v>170985.51</v>
      </c>
      <c r="E169" s="245">
        <v>58054.12</v>
      </c>
      <c r="F169" s="240"/>
      <c r="G169" s="240"/>
      <c r="H169" s="240"/>
      <c r="I169" s="240"/>
      <c r="J169" s="240"/>
      <c r="K169" s="240"/>
      <c r="L169" s="240"/>
      <c r="M169" s="240"/>
      <c r="N169" s="240"/>
      <c r="O169" s="245">
        <v>322765.67</v>
      </c>
    </row>
    <row r="170" spans="1:15" x14ac:dyDescent="0.25">
      <c r="A170" s="235"/>
      <c r="B170" s="235"/>
      <c r="C170" s="236"/>
      <c r="D170" s="236"/>
      <c r="E170" s="236"/>
      <c r="F170" s="236"/>
      <c r="G170" s="236"/>
      <c r="H170" s="236"/>
      <c r="I170" s="236"/>
      <c r="J170" s="236"/>
      <c r="K170" s="236"/>
      <c r="L170" s="236"/>
      <c r="M170" s="236"/>
      <c r="N170" s="236"/>
      <c r="O170" s="236"/>
    </row>
    <row r="171" spans="1:15" x14ac:dyDescent="0.25">
      <c r="A171" s="239"/>
      <c r="B171" s="239" t="s">
        <v>935</v>
      </c>
      <c r="C171" s="240"/>
      <c r="D171" s="240"/>
      <c r="E171" s="240"/>
      <c r="F171" s="240"/>
      <c r="G171" s="240"/>
      <c r="H171" s="240"/>
      <c r="I171" s="240"/>
      <c r="J171" s="240"/>
      <c r="K171" s="240"/>
      <c r="L171" s="240"/>
      <c r="M171" s="240"/>
      <c r="N171" s="240"/>
      <c r="O171" s="240"/>
    </row>
    <row r="172" spans="1:15" x14ac:dyDescent="0.25">
      <c r="A172" s="241" t="s">
        <v>936</v>
      </c>
      <c r="B172" s="241" t="s">
        <v>937</v>
      </c>
      <c r="C172" s="242">
        <v>1451.56</v>
      </c>
      <c r="D172" s="242">
        <v>772.51</v>
      </c>
      <c r="E172" s="242">
        <v>1782.62</v>
      </c>
      <c r="F172" s="243"/>
      <c r="G172" s="243"/>
      <c r="H172" s="243"/>
      <c r="I172" s="243"/>
      <c r="J172" s="243"/>
      <c r="K172" s="243"/>
      <c r="L172" s="243"/>
      <c r="M172" s="243"/>
      <c r="N172" s="243"/>
      <c r="O172" s="242">
        <v>4006.69</v>
      </c>
    </row>
    <row r="173" spans="1:15" x14ac:dyDescent="0.25">
      <c r="A173" s="241" t="s">
        <v>938</v>
      </c>
      <c r="B173" s="241" t="s">
        <v>847</v>
      </c>
      <c r="C173" s="242">
        <v>120</v>
      </c>
      <c r="D173" s="243"/>
      <c r="E173" s="242">
        <v>100</v>
      </c>
      <c r="F173" s="243"/>
      <c r="G173" s="243"/>
      <c r="H173" s="243"/>
      <c r="I173" s="243"/>
      <c r="J173" s="243"/>
      <c r="K173" s="243"/>
      <c r="L173" s="243"/>
      <c r="M173" s="243"/>
      <c r="N173" s="243"/>
      <c r="O173" s="242">
        <v>220</v>
      </c>
    </row>
    <row r="174" spans="1:15" x14ac:dyDescent="0.25">
      <c r="A174" s="241" t="s">
        <v>939</v>
      </c>
      <c r="B174" s="241" t="s">
        <v>850</v>
      </c>
      <c r="C174" s="242">
        <v>125.24</v>
      </c>
      <c r="D174" s="242">
        <v>-26.05</v>
      </c>
      <c r="E174" s="242">
        <v>15.69</v>
      </c>
      <c r="F174" s="243"/>
      <c r="G174" s="243"/>
      <c r="H174" s="243"/>
      <c r="I174" s="243"/>
      <c r="J174" s="243"/>
      <c r="K174" s="243"/>
      <c r="L174" s="243"/>
      <c r="M174" s="243"/>
      <c r="N174" s="243"/>
      <c r="O174" s="242">
        <v>114.88</v>
      </c>
    </row>
    <row r="175" spans="1:15" x14ac:dyDescent="0.25">
      <c r="A175" s="241" t="s">
        <v>940</v>
      </c>
      <c r="B175" s="241" t="s">
        <v>852</v>
      </c>
      <c r="C175" s="242">
        <v>-63.84</v>
      </c>
      <c r="D175" s="243"/>
      <c r="E175" s="243"/>
      <c r="F175" s="243"/>
      <c r="G175" s="243"/>
      <c r="H175" s="243"/>
      <c r="I175" s="243"/>
      <c r="J175" s="243"/>
      <c r="K175" s="243"/>
      <c r="L175" s="243"/>
      <c r="M175" s="243"/>
      <c r="N175" s="243"/>
      <c r="O175" s="242">
        <v>-63.84</v>
      </c>
    </row>
    <row r="176" spans="1:15" x14ac:dyDescent="0.25">
      <c r="A176" s="241" t="s">
        <v>941</v>
      </c>
      <c r="B176" s="241" t="s">
        <v>825</v>
      </c>
      <c r="C176" s="242">
        <v>118.69</v>
      </c>
      <c r="D176" s="242">
        <v>51.98</v>
      </c>
      <c r="E176" s="242">
        <v>149.34</v>
      </c>
      <c r="F176" s="243"/>
      <c r="G176" s="243"/>
      <c r="H176" s="243"/>
      <c r="I176" s="243"/>
      <c r="J176" s="243"/>
      <c r="K176" s="243"/>
      <c r="L176" s="243"/>
      <c r="M176" s="243"/>
      <c r="N176" s="243"/>
      <c r="O176" s="242">
        <v>320.01</v>
      </c>
    </row>
    <row r="177" spans="1:15" x14ac:dyDescent="0.25">
      <c r="A177" s="241" t="s">
        <v>942</v>
      </c>
      <c r="B177" s="241" t="s">
        <v>943</v>
      </c>
      <c r="C177" s="243"/>
      <c r="D177" s="242">
        <v>41.51</v>
      </c>
      <c r="E177" s="242">
        <v>41.51</v>
      </c>
      <c r="F177" s="243"/>
      <c r="G177" s="243"/>
      <c r="H177" s="243"/>
      <c r="I177" s="243"/>
      <c r="J177" s="243"/>
      <c r="K177" s="243"/>
      <c r="L177" s="243"/>
      <c r="M177" s="243"/>
      <c r="N177" s="243"/>
      <c r="O177" s="242">
        <v>83.02</v>
      </c>
    </row>
    <row r="178" spans="1:15" x14ac:dyDescent="0.25">
      <c r="A178" s="241" t="s">
        <v>944</v>
      </c>
      <c r="B178" s="241" t="s">
        <v>945</v>
      </c>
      <c r="C178" s="242">
        <v>-4746</v>
      </c>
      <c r="D178" s="242">
        <v>7345</v>
      </c>
      <c r="E178" s="242">
        <v>1892.75</v>
      </c>
      <c r="F178" s="243"/>
      <c r="G178" s="243"/>
      <c r="H178" s="243"/>
      <c r="I178" s="243"/>
      <c r="J178" s="243"/>
      <c r="K178" s="243"/>
      <c r="L178" s="243"/>
      <c r="M178" s="243"/>
      <c r="N178" s="243"/>
      <c r="O178" s="242">
        <v>4491.75</v>
      </c>
    </row>
    <row r="179" spans="1:15" x14ac:dyDescent="0.25">
      <c r="A179" s="241" t="s">
        <v>948</v>
      </c>
      <c r="B179" s="241" t="s">
        <v>575</v>
      </c>
      <c r="C179" s="242">
        <v>3008.22</v>
      </c>
      <c r="D179" s="242">
        <v>3150.16</v>
      </c>
      <c r="E179" s="242">
        <v>832.78</v>
      </c>
      <c r="F179" s="243"/>
      <c r="G179" s="243"/>
      <c r="H179" s="243"/>
      <c r="I179" s="243"/>
      <c r="J179" s="243"/>
      <c r="K179" s="243"/>
      <c r="L179" s="243"/>
      <c r="M179" s="243"/>
      <c r="N179" s="243"/>
      <c r="O179" s="242">
        <v>6991.16</v>
      </c>
    </row>
    <row r="180" spans="1:15" x14ac:dyDescent="0.25">
      <c r="A180" s="241" t="s">
        <v>949</v>
      </c>
      <c r="B180" s="241" t="s">
        <v>950</v>
      </c>
      <c r="C180" s="242">
        <v>1012.52</v>
      </c>
      <c r="D180" s="242">
        <v>1331.78</v>
      </c>
      <c r="E180" s="242">
        <v>364.91</v>
      </c>
      <c r="F180" s="243"/>
      <c r="G180" s="243"/>
      <c r="H180" s="243"/>
      <c r="I180" s="243"/>
      <c r="J180" s="243"/>
      <c r="K180" s="243"/>
      <c r="L180" s="243"/>
      <c r="M180" s="243"/>
      <c r="N180" s="243"/>
      <c r="O180" s="242">
        <v>2709.21</v>
      </c>
    </row>
    <row r="181" spans="1:15" x14ac:dyDescent="0.25">
      <c r="A181" s="241" t="s">
        <v>951</v>
      </c>
      <c r="B181" s="241" t="s">
        <v>952</v>
      </c>
      <c r="C181" s="242">
        <v>525.47</v>
      </c>
      <c r="D181" s="242">
        <v>4242.0200000000004</v>
      </c>
      <c r="E181" s="242">
        <v>46.36</v>
      </c>
      <c r="F181" s="243"/>
      <c r="G181" s="243"/>
      <c r="H181" s="243"/>
      <c r="I181" s="243"/>
      <c r="J181" s="243"/>
      <c r="K181" s="243"/>
      <c r="L181" s="243"/>
      <c r="M181" s="243"/>
      <c r="N181" s="243"/>
      <c r="O181" s="242">
        <v>4813.8500000000004</v>
      </c>
    </row>
    <row r="182" spans="1:15" x14ac:dyDescent="0.25">
      <c r="A182" s="241" t="s">
        <v>953</v>
      </c>
      <c r="B182" s="241" t="s">
        <v>954</v>
      </c>
      <c r="C182" s="242">
        <v>473.58</v>
      </c>
      <c r="D182" s="242">
        <v>407.04</v>
      </c>
      <c r="E182" s="242">
        <v>175.88</v>
      </c>
      <c r="F182" s="243"/>
      <c r="G182" s="243"/>
      <c r="H182" s="243"/>
      <c r="I182" s="243"/>
      <c r="J182" s="243"/>
      <c r="K182" s="243"/>
      <c r="L182" s="243"/>
      <c r="M182" s="243"/>
      <c r="N182" s="243"/>
      <c r="O182" s="242">
        <v>1056.5</v>
      </c>
    </row>
    <row r="183" spans="1:15" x14ac:dyDescent="0.25">
      <c r="A183" s="241" t="s">
        <v>955</v>
      </c>
      <c r="B183" s="241" t="s">
        <v>592</v>
      </c>
      <c r="C183" s="242">
        <v>1467.39</v>
      </c>
      <c r="D183" s="242">
        <v>1371.15</v>
      </c>
      <c r="E183" s="242">
        <v>303.23</v>
      </c>
      <c r="F183" s="243"/>
      <c r="G183" s="243"/>
      <c r="H183" s="243"/>
      <c r="I183" s="243"/>
      <c r="J183" s="243"/>
      <c r="K183" s="243"/>
      <c r="L183" s="243"/>
      <c r="M183" s="243"/>
      <c r="N183" s="243"/>
      <c r="O183" s="242">
        <v>3141.77</v>
      </c>
    </row>
    <row r="184" spans="1:15" x14ac:dyDescent="0.25">
      <c r="A184" s="241" t="s">
        <v>963</v>
      </c>
      <c r="B184" s="241" t="s">
        <v>964</v>
      </c>
      <c r="C184" s="242">
        <v>568.16</v>
      </c>
      <c r="D184" s="242">
        <v>499.36</v>
      </c>
      <c r="E184" s="242">
        <v>363.06</v>
      </c>
      <c r="F184" s="243"/>
      <c r="G184" s="243"/>
      <c r="H184" s="243"/>
      <c r="I184" s="243"/>
      <c r="J184" s="243"/>
      <c r="K184" s="243"/>
      <c r="L184" s="243"/>
      <c r="M184" s="243"/>
      <c r="N184" s="243"/>
      <c r="O184" s="242">
        <v>1430.58</v>
      </c>
    </row>
    <row r="185" spans="1:15" x14ac:dyDescent="0.25">
      <c r="A185" s="241" t="s">
        <v>965</v>
      </c>
      <c r="B185" s="241" t="s">
        <v>861</v>
      </c>
      <c r="C185" s="242">
        <v>717.67</v>
      </c>
      <c r="D185" s="242">
        <v>216</v>
      </c>
      <c r="E185" s="242">
        <v>563.30999999999995</v>
      </c>
      <c r="F185" s="243"/>
      <c r="G185" s="243"/>
      <c r="H185" s="243"/>
      <c r="I185" s="243"/>
      <c r="J185" s="243"/>
      <c r="K185" s="243"/>
      <c r="L185" s="243"/>
      <c r="M185" s="243"/>
      <c r="N185" s="243"/>
      <c r="O185" s="242">
        <v>1496.98</v>
      </c>
    </row>
    <row r="186" spans="1:15" x14ac:dyDescent="0.25">
      <c r="A186" s="241" t="s">
        <v>966</v>
      </c>
      <c r="B186" s="241" t="s">
        <v>867</v>
      </c>
      <c r="C186" s="243"/>
      <c r="D186" s="242">
        <v>465.45</v>
      </c>
      <c r="E186" s="243"/>
      <c r="F186" s="243"/>
      <c r="G186" s="243"/>
      <c r="H186" s="243"/>
      <c r="I186" s="243"/>
      <c r="J186" s="243"/>
      <c r="K186" s="243"/>
      <c r="L186" s="243"/>
      <c r="M186" s="243"/>
      <c r="N186" s="243"/>
      <c r="O186" s="242">
        <v>465.45</v>
      </c>
    </row>
    <row r="187" spans="1:15" x14ac:dyDescent="0.25">
      <c r="A187" s="241" t="s">
        <v>967</v>
      </c>
      <c r="B187" s="241" t="s">
        <v>591</v>
      </c>
      <c r="C187" s="242">
        <v>1411.21</v>
      </c>
      <c r="D187" s="242">
        <v>1371.74</v>
      </c>
      <c r="E187" s="242">
        <v>2277.29</v>
      </c>
      <c r="F187" s="243"/>
      <c r="G187" s="243"/>
      <c r="H187" s="243"/>
      <c r="I187" s="243"/>
      <c r="J187" s="243"/>
      <c r="K187" s="243"/>
      <c r="L187" s="243"/>
      <c r="M187" s="243"/>
      <c r="N187" s="243"/>
      <c r="O187" s="242">
        <v>5060.24</v>
      </c>
    </row>
    <row r="188" spans="1:15" x14ac:dyDescent="0.25">
      <c r="A188" s="241" t="s">
        <v>1430</v>
      </c>
      <c r="B188" s="241" t="s">
        <v>1417</v>
      </c>
      <c r="C188" s="244">
        <v>872.26</v>
      </c>
      <c r="D188" s="244">
        <v>7495.17</v>
      </c>
      <c r="E188" s="244">
        <v>2379.04</v>
      </c>
      <c r="F188" s="246"/>
      <c r="G188" s="246"/>
      <c r="H188" s="246"/>
      <c r="I188" s="246"/>
      <c r="J188" s="246"/>
      <c r="K188" s="246"/>
      <c r="L188" s="246"/>
      <c r="M188" s="246"/>
      <c r="N188" s="246"/>
      <c r="O188" s="244">
        <v>10746.47</v>
      </c>
    </row>
    <row r="189" spans="1:15" x14ac:dyDescent="0.25">
      <c r="A189" s="239"/>
      <c r="B189" s="239" t="s">
        <v>969</v>
      </c>
      <c r="C189" s="245">
        <v>7062.13</v>
      </c>
      <c r="D189" s="245">
        <v>28734.82</v>
      </c>
      <c r="E189" s="245">
        <v>11287.77</v>
      </c>
      <c r="F189" s="240"/>
      <c r="G189" s="240"/>
      <c r="H189" s="240"/>
      <c r="I189" s="240"/>
      <c r="J189" s="240"/>
      <c r="K189" s="240"/>
      <c r="L189" s="240"/>
      <c r="M189" s="240"/>
      <c r="N189" s="240"/>
      <c r="O189" s="245">
        <v>47084.72</v>
      </c>
    </row>
    <row r="190" spans="1:15" x14ac:dyDescent="0.25">
      <c r="A190" s="235"/>
      <c r="B190" s="235"/>
      <c r="C190" s="236"/>
      <c r="D190" s="236"/>
      <c r="E190" s="236"/>
      <c r="F190" s="236"/>
      <c r="G190" s="236"/>
      <c r="H190" s="236"/>
      <c r="I190" s="236"/>
      <c r="J190" s="236"/>
      <c r="K190" s="236"/>
      <c r="L190" s="236"/>
      <c r="M190" s="236"/>
      <c r="N190" s="236"/>
      <c r="O190" s="236"/>
    </row>
    <row r="191" spans="1:15" x14ac:dyDescent="0.25">
      <c r="A191" s="239"/>
      <c r="B191" s="239" t="s">
        <v>970</v>
      </c>
      <c r="C191" s="240"/>
      <c r="D191" s="240"/>
      <c r="E191" s="240"/>
      <c r="F191" s="240"/>
      <c r="G191" s="240"/>
      <c r="H191" s="240"/>
      <c r="I191" s="240"/>
      <c r="J191" s="240"/>
      <c r="K191" s="240"/>
      <c r="L191" s="240"/>
      <c r="M191" s="240"/>
      <c r="N191" s="240"/>
      <c r="O191" s="240"/>
    </row>
    <row r="192" spans="1:15" x14ac:dyDescent="0.25">
      <c r="A192" s="241" t="s">
        <v>974</v>
      </c>
      <c r="B192" s="241" t="s">
        <v>975</v>
      </c>
      <c r="C192" s="242">
        <v>451.48</v>
      </c>
      <c r="D192" s="242">
        <v>612.13</v>
      </c>
      <c r="E192" s="242">
        <v>224.64</v>
      </c>
      <c r="F192" s="243"/>
      <c r="G192" s="243"/>
      <c r="H192" s="243"/>
      <c r="I192" s="243"/>
      <c r="J192" s="243"/>
      <c r="K192" s="243"/>
      <c r="L192" s="243"/>
      <c r="M192" s="243"/>
      <c r="N192" s="243"/>
      <c r="O192" s="242">
        <v>1288.25</v>
      </c>
    </row>
    <row r="193" spans="1:15" x14ac:dyDescent="0.25">
      <c r="A193" s="241" t="s">
        <v>976</v>
      </c>
      <c r="B193" s="241" t="s">
        <v>977</v>
      </c>
      <c r="C193" s="242">
        <v>216.68</v>
      </c>
      <c r="D193" s="242">
        <v>613.91999999999996</v>
      </c>
      <c r="E193" s="243"/>
      <c r="F193" s="243"/>
      <c r="G193" s="243"/>
      <c r="H193" s="243"/>
      <c r="I193" s="243"/>
      <c r="J193" s="243"/>
      <c r="K193" s="243"/>
      <c r="L193" s="243"/>
      <c r="M193" s="243"/>
      <c r="N193" s="243"/>
      <c r="O193" s="242">
        <v>830.6</v>
      </c>
    </row>
    <row r="194" spans="1:15" x14ac:dyDescent="0.25">
      <c r="A194" s="241" t="s">
        <v>978</v>
      </c>
      <c r="B194" s="241" t="s">
        <v>599</v>
      </c>
      <c r="C194" s="242">
        <v>158.86000000000001</v>
      </c>
      <c r="D194" s="242">
        <v>158.86000000000001</v>
      </c>
      <c r="E194" s="243"/>
      <c r="F194" s="243"/>
      <c r="G194" s="243"/>
      <c r="H194" s="243"/>
      <c r="I194" s="243"/>
      <c r="J194" s="243"/>
      <c r="K194" s="243"/>
      <c r="L194" s="243"/>
      <c r="M194" s="243"/>
      <c r="N194" s="243"/>
      <c r="O194" s="242">
        <v>317.72000000000003</v>
      </c>
    </row>
    <row r="195" spans="1:15" x14ac:dyDescent="0.25">
      <c r="A195" s="241" t="s">
        <v>979</v>
      </c>
      <c r="B195" s="241" t="s">
        <v>617</v>
      </c>
      <c r="C195" s="242">
        <v>59.05</v>
      </c>
      <c r="D195" s="242">
        <v>1276.93</v>
      </c>
      <c r="E195" s="242">
        <v>270.42</v>
      </c>
      <c r="F195" s="243"/>
      <c r="G195" s="243"/>
      <c r="H195" s="243"/>
      <c r="I195" s="243"/>
      <c r="J195" s="243"/>
      <c r="K195" s="243"/>
      <c r="L195" s="243"/>
      <c r="M195" s="243"/>
      <c r="N195" s="243"/>
      <c r="O195" s="242">
        <v>1606.4</v>
      </c>
    </row>
    <row r="196" spans="1:15" x14ac:dyDescent="0.25">
      <c r="A196" s="241" t="s">
        <v>1477</v>
      </c>
      <c r="B196" s="241" t="s">
        <v>1478</v>
      </c>
      <c r="C196" s="246"/>
      <c r="D196" s="244">
        <v>1424</v>
      </c>
      <c r="E196" s="244">
        <v>-224</v>
      </c>
      <c r="F196" s="246"/>
      <c r="G196" s="246"/>
      <c r="H196" s="246"/>
      <c r="I196" s="246"/>
      <c r="J196" s="246"/>
      <c r="K196" s="246"/>
      <c r="L196" s="246"/>
      <c r="M196" s="246"/>
      <c r="N196" s="246"/>
      <c r="O196" s="244">
        <v>1200</v>
      </c>
    </row>
    <row r="197" spans="1:15" x14ac:dyDescent="0.25">
      <c r="A197" s="239"/>
      <c r="B197" s="239" t="s">
        <v>986</v>
      </c>
      <c r="C197" s="245">
        <v>886.07</v>
      </c>
      <c r="D197" s="245">
        <v>4085.84</v>
      </c>
      <c r="E197" s="245">
        <v>271.06</v>
      </c>
      <c r="F197" s="240"/>
      <c r="G197" s="240"/>
      <c r="H197" s="240"/>
      <c r="I197" s="240"/>
      <c r="J197" s="240"/>
      <c r="K197" s="240"/>
      <c r="L197" s="240"/>
      <c r="M197" s="240"/>
      <c r="N197" s="240"/>
      <c r="O197" s="245">
        <v>5242.97</v>
      </c>
    </row>
    <row r="198" spans="1:15" x14ac:dyDescent="0.25">
      <c r="A198" s="235"/>
      <c r="B198" s="235"/>
      <c r="C198" s="236"/>
      <c r="D198" s="236"/>
      <c r="E198" s="236"/>
      <c r="F198" s="236"/>
      <c r="G198" s="236"/>
      <c r="H198" s="236"/>
      <c r="I198" s="236"/>
      <c r="J198" s="236"/>
      <c r="K198" s="236"/>
      <c r="L198" s="236"/>
      <c r="M198" s="236"/>
      <c r="N198" s="236"/>
      <c r="O198" s="236"/>
    </row>
    <row r="199" spans="1:15" x14ac:dyDescent="0.25">
      <c r="A199" s="239"/>
      <c r="B199" s="239" t="s">
        <v>987</v>
      </c>
      <c r="C199" s="247"/>
      <c r="D199" s="247"/>
      <c r="E199" s="247"/>
      <c r="F199" s="247"/>
      <c r="G199" s="247"/>
      <c r="H199" s="247"/>
      <c r="I199" s="247"/>
      <c r="J199" s="247"/>
      <c r="K199" s="247"/>
      <c r="L199" s="247"/>
      <c r="M199" s="247"/>
      <c r="N199" s="247"/>
      <c r="O199" s="247"/>
    </row>
    <row r="200" spans="1:15" x14ac:dyDescent="0.25">
      <c r="A200" s="235"/>
      <c r="B200" s="235"/>
      <c r="C200" s="236"/>
      <c r="D200" s="236"/>
      <c r="E200" s="236"/>
      <c r="F200" s="236"/>
      <c r="G200" s="236"/>
      <c r="H200" s="236"/>
      <c r="I200" s="236"/>
      <c r="J200" s="236"/>
      <c r="K200" s="236"/>
      <c r="L200" s="236"/>
      <c r="M200" s="236"/>
      <c r="N200" s="236"/>
      <c r="O200" s="236"/>
    </row>
    <row r="201" spans="1:15" x14ac:dyDescent="0.25">
      <c r="A201" s="239"/>
      <c r="B201" s="239" t="s">
        <v>995</v>
      </c>
      <c r="C201" s="240"/>
      <c r="D201" s="240"/>
      <c r="E201" s="240"/>
      <c r="F201" s="240"/>
      <c r="G201" s="240"/>
      <c r="H201" s="240"/>
      <c r="I201" s="240"/>
      <c r="J201" s="240"/>
      <c r="K201" s="240"/>
      <c r="L201" s="240"/>
      <c r="M201" s="240"/>
      <c r="N201" s="240"/>
      <c r="O201" s="240"/>
    </row>
    <row r="202" spans="1:15" x14ac:dyDescent="0.25">
      <c r="A202" s="241" t="s">
        <v>996</v>
      </c>
      <c r="B202" s="241" t="s">
        <v>997</v>
      </c>
      <c r="C202" s="242">
        <v>4929.2</v>
      </c>
      <c r="D202" s="242">
        <v>8093.96</v>
      </c>
      <c r="E202" s="242">
        <v>5641.92</v>
      </c>
      <c r="F202" s="243"/>
      <c r="G202" s="243"/>
      <c r="H202" s="243"/>
      <c r="I202" s="243"/>
      <c r="J202" s="243"/>
      <c r="K202" s="243"/>
      <c r="L202" s="243"/>
      <c r="M202" s="243"/>
      <c r="N202" s="243"/>
      <c r="O202" s="242">
        <v>18665.080000000002</v>
      </c>
    </row>
    <row r="203" spans="1:15" x14ac:dyDescent="0.25">
      <c r="A203" s="241" t="s">
        <v>998</v>
      </c>
      <c r="B203" s="241" t="s">
        <v>841</v>
      </c>
      <c r="C203" s="242">
        <v>6740.23</v>
      </c>
      <c r="D203" s="242">
        <v>3876.46</v>
      </c>
      <c r="E203" s="242">
        <v>4177.6099999999997</v>
      </c>
      <c r="F203" s="243"/>
      <c r="G203" s="243"/>
      <c r="H203" s="243"/>
      <c r="I203" s="243"/>
      <c r="J203" s="243"/>
      <c r="K203" s="243"/>
      <c r="L203" s="243"/>
      <c r="M203" s="243"/>
      <c r="N203" s="243"/>
      <c r="O203" s="242">
        <v>14794.3</v>
      </c>
    </row>
    <row r="204" spans="1:15" x14ac:dyDescent="0.25">
      <c r="A204" s="241" t="s">
        <v>999</v>
      </c>
      <c r="B204" s="241" t="s">
        <v>847</v>
      </c>
      <c r="C204" s="243"/>
      <c r="D204" s="242">
        <v>300</v>
      </c>
      <c r="E204" s="242">
        <v>500</v>
      </c>
      <c r="F204" s="243"/>
      <c r="G204" s="243"/>
      <c r="H204" s="243"/>
      <c r="I204" s="243"/>
      <c r="J204" s="243"/>
      <c r="K204" s="243"/>
      <c r="L204" s="243"/>
      <c r="M204" s="243"/>
      <c r="N204" s="243"/>
      <c r="O204" s="242">
        <v>800</v>
      </c>
    </row>
    <row r="205" spans="1:15" x14ac:dyDescent="0.25">
      <c r="A205" s="241" t="s">
        <v>1000</v>
      </c>
      <c r="B205" s="241" t="s">
        <v>850</v>
      </c>
      <c r="C205" s="242">
        <v>-3.71</v>
      </c>
      <c r="D205" s="242">
        <v>406.96</v>
      </c>
      <c r="E205" s="242">
        <v>-59.13</v>
      </c>
      <c r="F205" s="243"/>
      <c r="G205" s="243"/>
      <c r="H205" s="243"/>
      <c r="I205" s="243"/>
      <c r="J205" s="243"/>
      <c r="K205" s="243"/>
      <c r="L205" s="243"/>
      <c r="M205" s="243"/>
      <c r="N205" s="243"/>
      <c r="O205" s="242">
        <v>344.12</v>
      </c>
    </row>
    <row r="206" spans="1:15" x14ac:dyDescent="0.25">
      <c r="A206" s="241" t="s">
        <v>1001</v>
      </c>
      <c r="B206" s="241" t="s">
        <v>852</v>
      </c>
      <c r="C206" s="242">
        <v>685.43</v>
      </c>
      <c r="D206" s="242">
        <v>748.99</v>
      </c>
      <c r="E206" s="242">
        <v>621.78</v>
      </c>
      <c r="F206" s="243"/>
      <c r="G206" s="243"/>
      <c r="H206" s="243"/>
      <c r="I206" s="243"/>
      <c r="J206" s="243"/>
      <c r="K206" s="243"/>
      <c r="L206" s="243"/>
      <c r="M206" s="243"/>
      <c r="N206" s="243"/>
      <c r="O206" s="242">
        <v>2056.1999999999998</v>
      </c>
    </row>
    <row r="207" spans="1:15" x14ac:dyDescent="0.25">
      <c r="A207" s="241" t="s">
        <v>1002</v>
      </c>
      <c r="B207" s="241" t="s">
        <v>825</v>
      </c>
      <c r="C207" s="242">
        <v>935.41</v>
      </c>
      <c r="D207" s="242">
        <v>1114.6099999999999</v>
      </c>
      <c r="E207" s="242">
        <v>888.53</v>
      </c>
      <c r="F207" s="243"/>
      <c r="G207" s="243"/>
      <c r="H207" s="243"/>
      <c r="I207" s="243"/>
      <c r="J207" s="243"/>
      <c r="K207" s="243"/>
      <c r="L207" s="243"/>
      <c r="M207" s="243"/>
      <c r="N207" s="243"/>
      <c r="O207" s="242">
        <v>2938.55</v>
      </c>
    </row>
    <row r="208" spans="1:15" x14ac:dyDescent="0.25">
      <c r="A208" s="241" t="s">
        <v>1004</v>
      </c>
      <c r="B208" s="241" t="s">
        <v>923</v>
      </c>
      <c r="C208" s="242">
        <v>794.15</v>
      </c>
      <c r="D208" s="242">
        <v>1561.69</v>
      </c>
      <c r="E208" s="242">
        <v>207.93</v>
      </c>
      <c r="F208" s="243"/>
      <c r="G208" s="243"/>
      <c r="H208" s="243"/>
      <c r="I208" s="243"/>
      <c r="J208" s="243"/>
      <c r="K208" s="243"/>
      <c r="L208" s="243"/>
      <c r="M208" s="243"/>
      <c r="N208" s="243"/>
      <c r="O208" s="242">
        <v>2563.77</v>
      </c>
    </row>
    <row r="209" spans="1:15" x14ac:dyDescent="0.25">
      <c r="A209" s="241" t="s">
        <v>1005</v>
      </c>
      <c r="B209" s="241" t="s">
        <v>1006</v>
      </c>
      <c r="C209" s="243"/>
      <c r="D209" s="242">
        <v>84.17</v>
      </c>
      <c r="E209" s="243"/>
      <c r="F209" s="243"/>
      <c r="G209" s="243"/>
      <c r="H209" s="243"/>
      <c r="I209" s="243"/>
      <c r="J209" s="243"/>
      <c r="K209" s="243"/>
      <c r="L209" s="243"/>
      <c r="M209" s="243"/>
      <c r="N209" s="243"/>
      <c r="O209" s="242">
        <v>84.17</v>
      </c>
    </row>
    <row r="210" spans="1:15" x14ac:dyDescent="0.25">
      <c r="A210" s="241" t="s">
        <v>1007</v>
      </c>
      <c r="B210" s="241" t="s">
        <v>861</v>
      </c>
      <c r="C210" s="242">
        <v>700</v>
      </c>
      <c r="D210" s="242">
        <v>825</v>
      </c>
      <c r="E210" s="242">
        <v>150</v>
      </c>
      <c r="F210" s="243"/>
      <c r="G210" s="243"/>
      <c r="H210" s="243"/>
      <c r="I210" s="243"/>
      <c r="J210" s="243"/>
      <c r="K210" s="243"/>
      <c r="L210" s="243"/>
      <c r="M210" s="243"/>
      <c r="N210" s="243"/>
      <c r="O210" s="242">
        <v>1675</v>
      </c>
    </row>
    <row r="211" spans="1:15" x14ac:dyDescent="0.25">
      <c r="A211" s="241" t="s">
        <v>1009</v>
      </c>
      <c r="B211" s="241" t="s">
        <v>1010</v>
      </c>
      <c r="C211" s="242">
        <v>6387.97</v>
      </c>
      <c r="D211" s="242">
        <v>8714.2800000000007</v>
      </c>
      <c r="E211" s="242">
        <v>2787.37</v>
      </c>
      <c r="F211" s="243"/>
      <c r="G211" s="243"/>
      <c r="H211" s="243"/>
      <c r="I211" s="243"/>
      <c r="J211" s="243"/>
      <c r="K211" s="243"/>
      <c r="L211" s="243"/>
      <c r="M211" s="243"/>
      <c r="N211" s="243"/>
      <c r="O211" s="242">
        <v>17889.62</v>
      </c>
    </row>
    <row r="212" spans="1:15" x14ac:dyDescent="0.25">
      <c r="A212" s="241" t="s">
        <v>1011</v>
      </c>
      <c r="B212" s="241" t="s">
        <v>1012</v>
      </c>
      <c r="C212" s="242">
        <v>352.77</v>
      </c>
      <c r="D212" s="242">
        <v>684.72</v>
      </c>
      <c r="E212" s="243"/>
      <c r="F212" s="243"/>
      <c r="G212" s="243"/>
      <c r="H212" s="243"/>
      <c r="I212" s="243"/>
      <c r="J212" s="243"/>
      <c r="K212" s="243"/>
      <c r="L212" s="243"/>
      <c r="M212" s="243"/>
      <c r="N212" s="243"/>
      <c r="O212" s="242">
        <v>1037.49</v>
      </c>
    </row>
    <row r="213" spans="1:15" x14ac:dyDescent="0.25">
      <c r="A213" s="241" t="s">
        <v>1013</v>
      </c>
      <c r="B213" s="241" t="s">
        <v>867</v>
      </c>
      <c r="C213" s="242">
        <v>333.66</v>
      </c>
      <c r="D213" s="243"/>
      <c r="E213" s="243"/>
      <c r="F213" s="243"/>
      <c r="G213" s="243"/>
      <c r="H213" s="243"/>
      <c r="I213" s="243"/>
      <c r="J213" s="243"/>
      <c r="K213" s="243"/>
      <c r="L213" s="243"/>
      <c r="M213" s="243"/>
      <c r="N213" s="243"/>
      <c r="O213" s="242">
        <v>333.66</v>
      </c>
    </row>
    <row r="214" spans="1:15" x14ac:dyDescent="0.25">
      <c r="A214" s="241" t="s">
        <v>1015</v>
      </c>
      <c r="B214" s="241" t="s">
        <v>928</v>
      </c>
      <c r="C214" s="242">
        <v>100</v>
      </c>
      <c r="D214" s="242">
        <v>100</v>
      </c>
      <c r="E214" s="242">
        <v>100</v>
      </c>
      <c r="F214" s="243"/>
      <c r="G214" s="243"/>
      <c r="H214" s="243"/>
      <c r="I214" s="243"/>
      <c r="J214" s="243"/>
      <c r="K214" s="243"/>
      <c r="L214" s="243"/>
      <c r="M214" s="243"/>
      <c r="N214" s="243"/>
      <c r="O214" s="242">
        <v>300</v>
      </c>
    </row>
    <row r="215" spans="1:15" x14ac:dyDescent="0.25">
      <c r="A215" s="241" t="s">
        <v>1418</v>
      </c>
      <c r="B215" s="241" t="s">
        <v>1417</v>
      </c>
      <c r="C215" s="244">
        <v>174</v>
      </c>
      <c r="D215" s="244">
        <v>1421.98</v>
      </c>
      <c r="E215" s="244">
        <v>850.33</v>
      </c>
      <c r="F215" s="246"/>
      <c r="G215" s="246"/>
      <c r="H215" s="246"/>
      <c r="I215" s="246"/>
      <c r="J215" s="246"/>
      <c r="K215" s="246"/>
      <c r="L215" s="246"/>
      <c r="M215" s="246"/>
      <c r="N215" s="246"/>
      <c r="O215" s="244">
        <v>2446.31</v>
      </c>
    </row>
    <row r="216" spans="1:15" x14ac:dyDescent="0.25">
      <c r="A216" s="239"/>
      <c r="B216" s="239" t="s">
        <v>1023</v>
      </c>
      <c r="C216" s="245">
        <v>22129.11</v>
      </c>
      <c r="D216" s="245">
        <v>27932.82</v>
      </c>
      <c r="E216" s="245">
        <v>15866.34</v>
      </c>
      <c r="F216" s="240"/>
      <c r="G216" s="240"/>
      <c r="H216" s="240"/>
      <c r="I216" s="240"/>
      <c r="J216" s="240"/>
      <c r="K216" s="240"/>
      <c r="L216" s="240"/>
      <c r="M216" s="240"/>
      <c r="N216" s="240"/>
      <c r="O216" s="245">
        <v>65928.27</v>
      </c>
    </row>
    <row r="217" spans="1:15" x14ac:dyDescent="0.25">
      <c r="A217" s="235"/>
      <c r="B217" s="235"/>
      <c r="C217" s="236"/>
      <c r="D217" s="236"/>
      <c r="E217" s="236"/>
      <c r="F217" s="236"/>
      <c r="G217" s="236"/>
      <c r="H217" s="236"/>
      <c r="I217" s="236"/>
      <c r="J217" s="236"/>
      <c r="K217" s="236"/>
      <c r="L217" s="236"/>
      <c r="M217" s="236"/>
      <c r="N217" s="236"/>
      <c r="O217" s="236"/>
    </row>
    <row r="218" spans="1:15" x14ac:dyDescent="0.25">
      <c r="A218" s="239"/>
      <c r="B218" s="239" t="s">
        <v>593</v>
      </c>
      <c r="C218" s="240"/>
      <c r="D218" s="240"/>
      <c r="E218" s="240"/>
      <c r="F218" s="240"/>
      <c r="G218" s="240"/>
      <c r="H218" s="240"/>
      <c r="I218" s="240"/>
      <c r="J218" s="240"/>
      <c r="K218" s="240"/>
      <c r="L218" s="240"/>
      <c r="M218" s="240"/>
      <c r="N218" s="240"/>
      <c r="O218" s="240"/>
    </row>
    <row r="219" spans="1:15" x14ac:dyDescent="0.25">
      <c r="A219" s="241" t="s">
        <v>1024</v>
      </c>
      <c r="B219" s="241" t="s">
        <v>855</v>
      </c>
      <c r="C219" s="242">
        <v>3936.18</v>
      </c>
      <c r="D219" s="242">
        <v>3936.18</v>
      </c>
      <c r="E219" s="242">
        <v>1936.18</v>
      </c>
      <c r="F219" s="243"/>
      <c r="G219" s="243"/>
      <c r="H219" s="243"/>
      <c r="I219" s="243"/>
      <c r="J219" s="243"/>
      <c r="K219" s="243"/>
      <c r="L219" s="243"/>
      <c r="M219" s="243"/>
      <c r="N219" s="243"/>
      <c r="O219" s="242">
        <v>9808.5400000000009</v>
      </c>
    </row>
    <row r="220" spans="1:15" x14ac:dyDescent="0.25">
      <c r="A220" s="241" t="s">
        <v>1025</v>
      </c>
      <c r="B220" s="241" t="s">
        <v>923</v>
      </c>
      <c r="C220" s="244">
        <v>25.58</v>
      </c>
      <c r="D220" s="246"/>
      <c r="E220" s="246"/>
      <c r="F220" s="246"/>
      <c r="G220" s="246"/>
      <c r="H220" s="246"/>
      <c r="I220" s="246"/>
      <c r="J220" s="246"/>
      <c r="K220" s="246"/>
      <c r="L220" s="246"/>
      <c r="M220" s="246"/>
      <c r="N220" s="246"/>
      <c r="O220" s="244">
        <v>25.58</v>
      </c>
    </row>
    <row r="221" spans="1:15" x14ac:dyDescent="0.25">
      <c r="A221" s="239"/>
      <c r="B221" s="239" t="s">
        <v>1030</v>
      </c>
      <c r="C221" s="245">
        <v>3961.76</v>
      </c>
      <c r="D221" s="245">
        <v>3936.18</v>
      </c>
      <c r="E221" s="245">
        <v>1936.18</v>
      </c>
      <c r="F221" s="240"/>
      <c r="G221" s="240"/>
      <c r="H221" s="240"/>
      <c r="I221" s="240"/>
      <c r="J221" s="240"/>
      <c r="K221" s="240"/>
      <c r="L221" s="240"/>
      <c r="M221" s="240"/>
      <c r="N221" s="240"/>
      <c r="O221" s="245">
        <v>9834.1200000000008</v>
      </c>
    </row>
    <row r="222" spans="1:15" x14ac:dyDescent="0.25">
      <c r="A222" s="235"/>
      <c r="B222" s="235"/>
      <c r="C222" s="236"/>
      <c r="D222" s="236"/>
      <c r="E222" s="236"/>
      <c r="F222" s="236"/>
      <c r="G222" s="236"/>
      <c r="H222" s="236"/>
      <c r="I222" s="236"/>
      <c r="J222" s="236"/>
      <c r="K222" s="236"/>
      <c r="L222" s="236"/>
      <c r="M222" s="236"/>
      <c r="N222" s="236"/>
      <c r="O222" s="236"/>
    </row>
    <row r="223" spans="1:15" x14ac:dyDescent="0.25">
      <c r="A223" s="239"/>
      <c r="B223" s="239" t="s">
        <v>1031</v>
      </c>
      <c r="C223" s="240"/>
      <c r="D223" s="240"/>
      <c r="E223" s="240"/>
      <c r="F223" s="240"/>
      <c r="G223" s="240"/>
      <c r="H223" s="240"/>
      <c r="I223" s="240"/>
      <c r="J223" s="240"/>
      <c r="K223" s="240"/>
      <c r="L223" s="240"/>
      <c r="M223" s="240"/>
      <c r="N223" s="240"/>
      <c r="O223" s="240"/>
    </row>
    <row r="224" spans="1:15" x14ac:dyDescent="0.25">
      <c r="A224" s="241" t="s">
        <v>1032</v>
      </c>
      <c r="B224" s="241" t="s">
        <v>855</v>
      </c>
      <c r="C224" s="244">
        <v>5904.27</v>
      </c>
      <c r="D224" s="244">
        <v>6781.47</v>
      </c>
      <c r="E224" s="244">
        <v>4953.1499999999996</v>
      </c>
      <c r="F224" s="246"/>
      <c r="G224" s="246"/>
      <c r="H224" s="246"/>
      <c r="I224" s="246"/>
      <c r="J224" s="246"/>
      <c r="K224" s="246"/>
      <c r="L224" s="246"/>
      <c r="M224" s="246"/>
      <c r="N224" s="246"/>
      <c r="O224" s="244">
        <v>17638.89</v>
      </c>
    </row>
    <row r="225" spans="1:15" x14ac:dyDescent="0.25">
      <c r="A225" s="239"/>
      <c r="B225" s="239" t="s">
        <v>1035</v>
      </c>
      <c r="C225" s="245">
        <v>5904.27</v>
      </c>
      <c r="D225" s="245">
        <v>6781.47</v>
      </c>
      <c r="E225" s="245">
        <v>4953.1499999999996</v>
      </c>
      <c r="F225" s="240"/>
      <c r="G225" s="240"/>
      <c r="H225" s="240"/>
      <c r="I225" s="240"/>
      <c r="J225" s="240"/>
      <c r="K225" s="240"/>
      <c r="L225" s="240"/>
      <c r="M225" s="240"/>
      <c r="N225" s="240"/>
      <c r="O225" s="245">
        <v>17638.89</v>
      </c>
    </row>
    <row r="226" spans="1:15" x14ac:dyDescent="0.25">
      <c r="A226" s="235"/>
      <c r="B226" s="235"/>
      <c r="C226" s="236"/>
      <c r="D226" s="236"/>
      <c r="E226" s="236"/>
      <c r="F226" s="236"/>
      <c r="G226" s="236"/>
      <c r="H226" s="236"/>
      <c r="I226" s="236"/>
      <c r="J226" s="236"/>
      <c r="K226" s="236"/>
      <c r="L226" s="236"/>
      <c r="M226" s="236"/>
      <c r="N226" s="236"/>
      <c r="O226" s="236"/>
    </row>
    <row r="227" spans="1:15" x14ac:dyDescent="0.25">
      <c r="A227" s="239"/>
      <c r="B227" s="239" t="s">
        <v>1036</v>
      </c>
      <c r="C227" s="240"/>
      <c r="D227" s="240"/>
      <c r="E227" s="240"/>
      <c r="F227" s="240"/>
      <c r="G227" s="240"/>
      <c r="H227" s="240"/>
      <c r="I227" s="240"/>
      <c r="J227" s="240"/>
      <c r="K227" s="240"/>
      <c r="L227" s="240"/>
      <c r="M227" s="240"/>
      <c r="N227" s="240"/>
      <c r="O227" s="240"/>
    </row>
    <row r="228" spans="1:15" x14ac:dyDescent="0.25">
      <c r="A228" s="241" t="s">
        <v>1037</v>
      </c>
      <c r="B228" s="241" t="s">
        <v>997</v>
      </c>
      <c r="C228" s="242">
        <v>3936.25</v>
      </c>
      <c r="D228" s="242">
        <v>3143.84</v>
      </c>
      <c r="E228" s="242">
        <v>1682.09</v>
      </c>
      <c r="F228" s="243"/>
      <c r="G228" s="243"/>
      <c r="H228" s="243"/>
      <c r="I228" s="243"/>
      <c r="J228" s="243"/>
      <c r="K228" s="243"/>
      <c r="L228" s="243"/>
      <c r="M228" s="243"/>
      <c r="N228" s="243"/>
      <c r="O228" s="242">
        <v>8762.18</v>
      </c>
    </row>
    <row r="229" spans="1:15" x14ac:dyDescent="0.25">
      <c r="A229" s="241" t="s">
        <v>1040</v>
      </c>
      <c r="B229" s="241" t="s">
        <v>850</v>
      </c>
      <c r="C229" s="242">
        <v>-144.71</v>
      </c>
      <c r="D229" s="242">
        <v>127.75</v>
      </c>
      <c r="E229" s="242">
        <v>-22.89</v>
      </c>
      <c r="F229" s="243"/>
      <c r="G229" s="243"/>
      <c r="H229" s="243"/>
      <c r="I229" s="243"/>
      <c r="J229" s="243"/>
      <c r="K229" s="243"/>
      <c r="L229" s="243"/>
      <c r="M229" s="243"/>
      <c r="N229" s="243"/>
      <c r="O229" s="242">
        <v>-39.85</v>
      </c>
    </row>
    <row r="230" spans="1:15" x14ac:dyDescent="0.25">
      <c r="A230" s="241" t="s">
        <v>1041</v>
      </c>
      <c r="B230" s="241" t="s">
        <v>852</v>
      </c>
      <c r="C230" s="242">
        <v>-107.16</v>
      </c>
      <c r="D230" s="243"/>
      <c r="E230" s="242">
        <v>601.13</v>
      </c>
      <c r="F230" s="243"/>
      <c r="G230" s="243"/>
      <c r="H230" s="243"/>
      <c r="I230" s="243"/>
      <c r="J230" s="243"/>
      <c r="K230" s="243"/>
      <c r="L230" s="243"/>
      <c r="M230" s="243"/>
      <c r="N230" s="243"/>
      <c r="O230" s="242">
        <v>493.97</v>
      </c>
    </row>
    <row r="231" spans="1:15" x14ac:dyDescent="0.25">
      <c r="A231" s="241" t="s">
        <v>1042</v>
      </c>
      <c r="B231" s="241" t="s">
        <v>825</v>
      </c>
      <c r="C231" s="242">
        <v>275.35000000000002</v>
      </c>
      <c r="D231" s="242">
        <v>260.29000000000002</v>
      </c>
      <c r="E231" s="242">
        <v>164.65</v>
      </c>
      <c r="F231" s="243"/>
      <c r="G231" s="243"/>
      <c r="H231" s="243"/>
      <c r="I231" s="243"/>
      <c r="J231" s="243"/>
      <c r="K231" s="243"/>
      <c r="L231" s="243"/>
      <c r="M231" s="243"/>
      <c r="N231" s="243"/>
      <c r="O231" s="242">
        <v>700.29</v>
      </c>
    </row>
    <row r="232" spans="1:15" x14ac:dyDescent="0.25">
      <c r="A232" s="241" t="s">
        <v>1043</v>
      </c>
      <c r="B232" s="241" t="s">
        <v>855</v>
      </c>
      <c r="C232" s="242">
        <v>232.3</v>
      </c>
      <c r="D232" s="242">
        <v>6230.11</v>
      </c>
      <c r="E232" s="242">
        <v>1367.3</v>
      </c>
      <c r="F232" s="243"/>
      <c r="G232" s="243"/>
      <c r="H232" s="243"/>
      <c r="I232" s="243"/>
      <c r="J232" s="243"/>
      <c r="K232" s="243"/>
      <c r="L232" s="243"/>
      <c r="M232" s="243"/>
      <c r="N232" s="243"/>
      <c r="O232" s="242">
        <v>7829.71</v>
      </c>
    </row>
    <row r="233" spans="1:15" x14ac:dyDescent="0.25">
      <c r="A233" s="241" t="s">
        <v>1044</v>
      </c>
      <c r="B233" s="241" t="s">
        <v>923</v>
      </c>
      <c r="C233" s="242">
        <v>532.05999999999995</v>
      </c>
      <c r="D233" s="242">
        <v>1440.41</v>
      </c>
      <c r="E233" s="242">
        <v>203.26</v>
      </c>
      <c r="F233" s="243"/>
      <c r="G233" s="243"/>
      <c r="H233" s="243"/>
      <c r="I233" s="243"/>
      <c r="J233" s="243"/>
      <c r="K233" s="243"/>
      <c r="L233" s="243"/>
      <c r="M233" s="243"/>
      <c r="N233" s="243"/>
      <c r="O233" s="242">
        <v>2175.73</v>
      </c>
    </row>
    <row r="234" spans="1:15" x14ac:dyDescent="0.25">
      <c r="A234" s="241" t="s">
        <v>1045</v>
      </c>
      <c r="B234" s="241" t="s">
        <v>867</v>
      </c>
      <c r="C234" s="242">
        <v>270.69</v>
      </c>
      <c r="D234" s="242">
        <v>36.270000000000003</v>
      </c>
      <c r="E234" s="243"/>
      <c r="F234" s="243"/>
      <c r="G234" s="243"/>
      <c r="H234" s="243"/>
      <c r="I234" s="243"/>
      <c r="J234" s="243"/>
      <c r="K234" s="243"/>
      <c r="L234" s="243"/>
      <c r="M234" s="243"/>
      <c r="N234" s="243"/>
      <c r="O234" s="242">
        <v>306.95999999999998</v>
      </c>
    </row>
    <row r="235" spans="1:15" x14ac:dyDescent="0.25">
      <c r="A235" s="241" t="s">
        <v>1047</v>
      </c>
      <c r="B235" s="241" t="s">
        <v>1048</v>
      </c>
      <c r="C235" s="242">
        <v>55</v>
      </c>
      <c r="D235" s="242">
        <v>55</v>
      </c>
      <c r="E235" s="243"/>
      <c r="F235" s="243"/>
      <c r="G235" s="243"/>
      <c r="H235" s="243"/>
      <c r="I235" s="243"/>
      <c r="J235" s="243"/>
      <c r="K235" s="243"/>
      <c r="L235" s="243"/>
      <c r="M235" s="243"/>
      <c r="N235" s="243"/>
      <c r="O235" s="242">
        <v>110</v>
      </c>
    </row>
    <row r="236" spans="1:15" x14ac:dyDescent="0.25">
      <c r="A236" s="241" t="s">
        <v>1049</v>
      </c>
      <c r="B236" s="241" t="s">
        <v>1050</v>
      </c>
      <c r="C236" s="242">
        <v>2011.68</v>
      </c>
      <c r="D236" s="242">
        <v>696.43</v>
      </c>
      <c r="E236" s="242">
        <v>5905.9</v>
      </c>
      <c r="F236" s="243"/>
      <c r="G236" s="243"/>
      <c r="H236" s="243"/>
      <c r="I236" s="243"/>
      <c r="J236" s="243"/>
      <c r="K236" s="243"/>
      <c r="L236" s="243"/>
      <c r="M236" s="243"/>
      <c r="N236" s="243"/>
      <c r="O236" s="242">
        <v>8614.01</v>
      </c>
    </row>
    <row r="237" spans="1:15" x14ac:dyDescent="0.25">
      <c r="A237" s="241" t="s">
        <v>1051</v>
      </c>
      <c r="B237" s="241" t="s">
        <v>1052</v>
      </c>
      <c r="C237" s="242">
        <v>447.47</v>
      </c>
      <c r="D237" s="242">
        <v>272.47000000000003</v>
      </c>
      <c r="E237" s="242">
        <v>272.47000000000003</v>
      </c>
      <c r="F237" s="243"/>
      <c r="G237" s="243"/>
      <c r="H237" s="243"/>
      <c r="I237" s="243"/>
      <c r="J237" s="243"/>
      <c r="K237" s="243"/>
      <c r="L237" s="243"/>
      <c r="M237" s="243"/>
      <c r="N237" s="243"/>
      <c r="O237" s="242">
        <v>992.41</v>
      </c>
    </row>
    <row r="238" spans="1:15" x14ac:dyDescent="0.25">
      <c r="A238" s="241" t="s">
        <v>1055</v>
      </c>
      <c r="B238" s="241" t="s">
        <v>1056</v>
      </c>
      <c r="C238" s="242">
        <v>5569</v>
      </c>
      <c r="D238" s="242">
        <v>4492.76</v>
      </c>
      <c r="E238" s="242">
        <v>5211.63</v>
      </c>
      <c r="F238" s="243"/>
      <c r="G238" s="243"/>
      <c r="H238" s="243"/>
      <c r="I238" s="243"/>
      <c r="J238" s="243"/>
      <c r="K238" s="243"/>
      <c r="L238" s="243"/>
      <c r="M238" s="243"/>
      <c r="N238" s="243"/>
      <c r="O238" s="242">
        <v>15273.39</v>
      </c>
    </row>
    <row r="239" spans="1:15" x14ac:dyDescent="0.25">
      <c r="A239" s="241" t="s">
        <v>1057</v>
      </c>
      <c r="B239" s="241" t="s">
        <v>1058</v>
      </c>
      <c r="C239" s="242">
        <v>355.13</v>
      </c>
      <c r="D239" s="242">
        <v>321.68</v>
      </c>
      <c r="E239" s="242">
        <v>308.93</v>
      </c>
      <c r="F239" s="243"/>
      <c r="G239" s="243"/>
      <c r="H239" s="243"/>
      <c r="I239" s="243"/>
      <c r="J239" s="243"/>
      <c r="K239" s="243"/>
      <c r="L239" s="243"/>
      <c r="M239" s="243"/>
      <c r="N239" s="243"/>
      <c r="O239" s="242">
        <v>985.74</v>
      </c>
    </row>
    <row r="240" spans="1:15" x14ac:dyDescent="0.25">
      <c r="A240" s="241" t="s">
        <v>1059</v>
      </c>
      <c r="B240" s="241" t="s">
        <v>1060</v>
      </c>
      <c r="C240" s="242">
        <v>1383</v>
      </c>
      <c r="D240" s="242">
        <v>1327.42</v>
      </c>
      <c r="E240" s="242">
        <v>1367.88</v>
      </c>
      <c r="F240" s="243"/>
      <c r="G240" s="243"/>
      <c r="H240" s="243"/>
      <c r="I240" s="243"/>
      <c r="J240" s="243"/>
      <c r="K240" s="243"/>
      <c r="L240" s="243"/>
      <c r="M240" s="243"/>
      <c r="N240" s="243"/>
      <c r="O240" s="242">
        <v>4078.3</v>
      </c>
    </row>
    <row r="241" spans="1:15" x14ac:dyDescent="0.25">
      <c r="A241" s="241" t="s">
        <v>1061</v>
      </c>
      <c r="B241" s="241" t="s">
        <v>1062</v>
      </c>
      <c r="C241" s="242">
        <v>901.33</v>
      </c>
      <c r="D241" s="242">
        <v>1279.96</v>
      </c>
      <c r="E241" s="242">
        <v>1123.77</v>
      </c>
      <c r="F241" s="243"/>
      <c r="G241" s="243"/>
      <c r="H241" s="243"/>
      <c r="I241" s="243"/>
      <c r="J241" s="243"/>
      <c r="K241" s="243"/>
      <c r="L241" s="243"/>
      <c r="M241" s="243"/>
      <c r="N241" s="243"/>
      <c r="O241" s="242">
        <v>3305.06</v>
      </c>
    </row>
    <row r="242" spans="1:15" x14ac:dyDescent="0.25">
      <c r="A242" s="241" t="s">
        <v>1063</v>
      </c>
      <c r="B242" s="241" t="s">
        <v>1064</v>
      </c>
      <c r="C242" s="242">
        <v>1405</v>
      </c>
      <c r="D242" s="242">
        <v>1545</v>
      </c>
      <c r="E242" s="242">
        <v>-81.099999999999994</v>
      </c>
      <c r="F242" s="243"/>
      <c r="G242" s="243"/>
      <c r="H242" s="243"/>
      <c r="I242" s="243"/>
      <c r="J242" s="243"/>
      <c r="K242" s="243"/>
      <c r="L242" s="243"/>
      <c r="M242" s="243"/>
      <c r="N242" s="243"/>
      <c r="O242" s="242">
        <v>2868.9</v>
      </c>
    </row>
    <row r="243" spans="1:15" x14ac:dyDescent="0.25">
      <c r="A243" s="241" t="s">
        <v>1433</v>
      </c>
      <c r="B243" s="241" t="s">
        <v>1417</v>
      </c>
      <c r="C243" s="243"/>
      <c r="D243" s="242">
        <v>227.17</v>
      </c>
      <c r="E243" s="242">
        <v>-33.01</v>
      </c>
      <c r="F243" s="243"/>
      <c r="G243" s="243"/>
      <c r="H243" s="243"/>
      <c r="I243" s="243"/>
      <c r="J243" s="243"/>
      <c r="K243" s="243"/>
      <c r="L243" s="243"/>
      <c r="M243" s="243"/>
      <c r="N243" s="243"/>
      <c r="O243" s="242">
        <v>194.16</v>
      </c>
    </row>
    <row r="244" spans="1:15" x14ac:dyDescent="0.25">
      <c r="A244" s="241" t="s">
        <v>1067</v>
      </c>
      <c r="B244" s="241" t="s">
        <v>880</v>
      </c>
      <c r="C244" s="243"/>
      <c r="D244" s="243"/>
      <c r="E244" s="242">
        <v>1254.04</v>
      </c>
      <c r="F244" s="243"/>
      <c r="G244" s="243"/>
      <c r="H244" s="243"/>
      <c r="I244" s="243"/>
      <c r="J244" s="243"/>
      <c r="K244" s="243"/>
      <c r="L244" s="243"/>
      <c r="M244" s="243"/>
      <c r="N244" s="243"/>
      <c r="O244" s="242">
        <v>1254.04</v>
      </c>
    </row>
    <row r="245" spans="1:15" x14ac:dyDescent="0.25">
      <c r="A245" s="241" t="s">
        <v>1068</v>
      </c>
      <c r="B245" s="241" t="s">
        <v>883</v>
      </c>
      <c r="C245" s="243"/>
      <c r="D245" s="243"/>
      <c r="E245" s="242">
        <v>350.29</v>
      </c>
      <c r="F245" s="243"/>
      <c r="G245" s="243"/>
      <c r="H245" s="243"/>
      <c r="I245" s="243"/>
      <c r="J245" s="243"/>
      <c r="K245" s="243"/>
      <c r="L245" s="243"/>
      <c r="M245" s="243"/>
      <c r="N245" s="243"/>
      <c r="O245" s="242">
        <v>350.29</v>
      </c>
    </row>
    <row r="246" spans="1:15" x14ac:dyDescent="0.25">
      <c r="A246" s="241" t="s">
        <v>1070</v>
      </c>
      <c r="B246" s="241" t="s">
        <v>887</v>
      </c>
      <c r="C246" s="246"/>
      <c r="D246" s="246"/>
      <c r="E246" s="244">
        <v>130.05000000000001</v>
      </c>
      <c r="F246" s="246"/>
      <c r="G246" s="246"/>
      <c r="H246" s="246"/>
      <c r="I246" s="246"/>
      <c r="J246" s="246"/>
      <c r="K246" s="246"/>
      <c r="L246" s="246"/>
      <c r="M246" s="246"/>
      <c r="N246" s="246"/>
      <c r="O246" s="244">
        <v>130.05000000000001</v>
      </c>
    </row>
    <row r="247" spans="1:15" x14ac:dyDescent="0.25">
      <c r="A247" s="239"/>
      <c r="B247" s="239" t="s">
        <v>1075</v>
      </c>
      <c r="C247" s="245">
        <v>17122.39</v>
      </c>
      <c r="D247" s="245">
        <v>21456.560000000001</v>
      </c>
      <c r="E247" s="245">
        <v>19806.39</v>
      </c>
      <c r="F247" s="240"/>
      <c r="G247" s="240"/>
      <c r="H247" s="240"/>
      <c r="I247" s="240"/>
      <c r="J247" s="240"/>
      <c r="K247" s="240"/>
      <c r="L247" s="240"/>
      <c r="M247" s="240"/>
      <c r="N247" s="240"/>
      <c r="O247" s="245">
        <v>58385.34</v>
      </c>
    </row>
    <row r="248" spans="1:15" x14ac:dyDescent="0.25">
      <c r="A248" s="235"/>
      <c r="B248" s="235"/>
      <c r="C248" s="236"/>
      <c r="D248" s="236"/>
      <c r="E248" s="236"/>
      <c r="F248" s="236"/>
      <c r="G248" s="236"/>
      <c r="H248" s="236"/>
      <c r="I248" s="236"/>
      <c r="J248" s="236"/>
      <c r="K248" s="236"/>
      <c r="L248" s="236"/>
      <c r="M248" s="236"/>
      <c r="N248" s="236"/>
      <c r="O248" s="236"/>
    </row>
    <row r="249" spans="1:15" x14ac:dyDescent="0.25">
      <c r="A249" s="239"/>
      <c r="B249" s="239" t="s">
        <v>577</v>
      </c>
      <c r="C249" s="247"/>
      <c r="D249" s="247"/>
      <c r="E249" s="247"/>
      <c r="F249" s="247"/>
      <c r="G249" s="247"/>
      <c r="H249" s="247"/>
      <c r="I249" s="247"/>
      <c r="J249" s="247"/>
      <c r="K249" s="247"/>
      <c r="L249" s="247"/>
      <c r="M249" s="247"/>
      <c r="N249" s="247"/>
      <c r="O249" s="247"/>
    </row>
    <row r="250" spans="1:15" x14ac:dyDescent="0.25">
      <c r="A250" s="235"/>
      <c r="B250" s="235"/>
      <c r="C250" s="236"/>
      <c r="D250" s="236"/>
      <c r="E250" s="236"/>
      <c r="F250" s="236"/>
      <c r="G250" s="236"/>
      <c r="H250" s="236"/>
      <c r="I250" s="236"/>
      <c r="J250" s="236"/>
      <c r="K250" s="236"/>
      <c r="L250" s="236"/>
      <c r="M250" s="236"/>
      <c r="N250" s="236"/>
      <c r="O250" s="236"/>
    </row>
    <row r="251" spans="1:15" x14ac:dyDescent="0.25">
      <c r="A251" s="239"/>
      <c r="B251" s="239" t="s">
        <v>1076</v>
      </c>
      <c r="C251" s="240"/>
      <c r="D251" s="240"/>
      <c r="E251" s="240"/>
      <c r="F251" s="240"/>
      <c r="G251" s="240"/>
      <c r="H251" s="240"/>
      <c r="I251" s="240"/>
      <c r="J251" s="240"/>
      <c r="K251" s="240"/>
      <c r="L251" s="240"/>
      <c r="M251" s="240"/>
      <c r="N251" s="240"/>
      <c r="O251" s="240"/>
    </row>
    <row r="252" spans="1:15" x14ac:dyDescent="0.25">
      <c r="A252" s="241" t="s">
        <v>1077</v>
      </c>
      <c r="B252" s="241" t="s">
        <v>997</v>
      </c>
      <c r="C252" s="242">
        <v>2101.63</v>
      </c>
      <c r="D252" s="242">
        <v>1123.71</v>
      </c>
      <c r="E252" s="242">
        <v>567.54</v>
      </c>
      <c r="F252" s="243"/>
      <c r="G252" s="243"/>
      <c r="H252" s="243"/>
      <c r="I252" s="243"/>
      <c r="J252" s="243"/>
      <c r="K252" s="243"/>
      <c r="L252" s="243"/>
      <c r="M252" s="243"/>
      <c r="N252" s="243"/>
      <c r="O252" s="242">
        <v>3792.88</v>
      </c>
    </row>
    <row r="253" spans="1:15" x14ac:dyDescent="0.25">
      <c r="A253" s="241" t="s">
        <v>1078</v>
      </c>
      <c r="B253" s="241" t="s">
        <v>841</v>
      </c>
      <c r="C253" s="242">
        <v>83.78</v>
      </c>
      <c r="D253" s="242">
        <v>464.61</v>
      </c>
      <c r="E253" s="242">
        <v>1178.2</v>
      </c>
      <c r="F253" s="243"/>
      <c r="G253" s="243"/>
      <c r="H253" s="243"/>
      <c r="I253" s="243"/>
      <c r="J253" s="243"/>
      <c r="K253" s="243"/>
      <c r="L253" s="243"/>
      <c r="M253" s="243"/>
      <c r="N253" s="243"/>
      <c r="O253" s="242">
        <v>1726.59</v>
      </c>
    </row>
    <row r="254" spans="1:15" x14ac:dyDescent="0.25">
      <c r="A254" s="241" t="s">
        <v>1079</v>
      </c>
      <c r="B254" s="241" t="s">
        <v>847</v>
      </c>
      <c r="C254" s="243"/>
      <c r="D254" s="242">
        <v>100</v>
      </c>
      <c r="E254" s="242">
        <v>100</v>
      </c>
      <c r="F254" s="243"/>
      <c r="G254" s="243"/>
      <c r="H254" s="243"/>
      <c r="I254" s="243"/>
      <c r="J254" s="243"/>
      <c r="K254" s="243"/>
      <c r="L254" s="243"/>
      <c r="M254" s="243"/>
      <c r="N254" s="243"/>
      <c r="O254" s="242">
        <v>200</v>
      </c>
    </row>
    <row r="255" spans="1:15" x14ac:dyDescent="0.25">
      <c r="A255" s="241" t="s">
        <v>1080</v>
      </c>
      <c r="B255" s="241" t="s">
        <v>850</v>
      </c>
      <c r="C255" s="243"/>
      <c r="D255" s="242">
        <v>322.60000000000002</v>
      </c>
      <c r="E255" s="242">
        <v>126.5</v>
      </c>
      <c r="F255" s="243"/>
      <c r="G255" s="243"/>
      <c r="H255" s="243"/>
      <c r="I255" s="243"/>
      <c r="J255" s="243"/>
      <c r="K255" s="243"/>
      <c r="L255" s="243"/>
      <c r="M255" s="243"/>
      <c r="N255" s="243"/>
      <c r="O255" s="242">
        <v>449.1</v>
      </c>
    </row>
    <row r="256" spans="1:15" x14ac:dyDescent="0.25">
      <c r="A256" s="241" t="s">
        <v>1081</v>
      </c>
      <c r="B256" s="241" t="s">
        <v>852</v>
      </c>
      <c r="C256" s="242">
        <v>128.49</v>
      </c>
      <c r="D256" s="242">
        <v>768.92</v>
      </c>
      <c r="E256" s="242">
        <v>253.45</v>
      </c>
      <c r="F256" s="243"/>
      <c r="G256" s="243"/>
      <c r="H256" s="243"/>
      <c r="I256" s="243"/>
      <c r="J256" s="243"/>
      <c r="K256" s="243"/>
      <c r="L256" s="243"/>
      <c r="M256" s="243"/>
      <c r="N256" s="243"/>
      <c r="O256" s="242">
        <v>1150.8599999999999</v>
      </c>
    </row>
    <row r="257" spans="1:15" x14ac:dyDescent="0.25">
      <c r="A257" s="241" t="s">
        <v>1082</v>
      </c>
      <c r="B257" s="241" t="s">
        <v>825</v>
      </c>
      <c r="C257" s="242">
        <v>122.75</v>
      </c>
      <c r="D257" s="242">
        <v>222.17</v>
      </c>
      <c r="E257" s="242">
        <v>171.95</v>
      </c>
      <c r="F257" s="243"/>
      <c r="G257" s="243"/>
      <c r="H257" s="243"/>
      <c r="I257" s="243"/>
      <c r="J257" s="243"/>
      <c r="K257" s="243"/>
      <c r="L257" s="243"/>
      <c r="M257" s="243"/>
      <c r="N257" s="243"/>
      <c r="O257" s="242">
        <v>516.87</v>
      </c>
    </row>
    <row r="258" spans="1:15" x14ac:dyDescent="0.25">
      <c r="A258" s="241" t="s">
        <v>1083</v>
      </c>
      <c r="B258" s="241" t="s">
        <v>855</v>
      </c>
      <c r="C258" s="242">
        <v>72.52</v>
      </c>
      <c r="D258" s="243"/>
      <c r="E258" s="243"/>
      <c r="F258" s="243"/>
      <c r="G258" s="243"/>
      <c r="H258" s="243"/>
      <c r="I258" s="243"/>
      <c r="J258" s="243"/>
      <c r="K258" s="243"/>
      <c r="L258" s="243"/>
      <c r="M258" s="243"/>
      <c r="N258" s="243"/>
      <c r="O258" s="242">
        <v>72.52</v>
      </c>
    </row>
    <row r="259" spans="1:15" x14ac:dyDescent="0.25">
      <c r="A259" s="241" t="s">
        <v>1085</v>
      </c>
      <c r="B259" s="241" t="s">
        <v>923</v>
      </c>
      <c r="C259" s="242">
        <v>267.2</v>
      </c>
      <c r="D259" s="242">
        <v>297.02</v>
      </c>
      <c r="E259" s="242">
        <v>37.92</v>
      </c>
      <c r="F259" s="243"/>
      <c r="G259" s="243"/>
      <c r="H259" s="243"/>
      <c r="I259" s="243"/>
      <c r="J259" s="243"/>
      <c r="K259" s="243"/>
      <c r="L259" s="243"/>
      <c r="M259" s="243"/>
      <c r="N259" s="243"/>
      <c r="O259" s="242">
        <v>602.14</v>
      </c>
    </row>
    <row r="260" spans="1:15" x14ac:dyDescent="0.25">
      <c r="A260" s="241" t="s">
        <v>1434</v>
      </c>
      <c r="B260" s="241" t="s">
        <v>1417</v>
      </c>
      <c r="C260" s="243"/>
      <c r="D260" s="242">
        <v>339.98</v>
      </c>
      <c r="E260" s="242">
        <v>-49.4</v>
      </c>
      <c r="F260" s="243"/>
      <c r="G260" s="243"/>
      <c r="H260" s="243"/>
      <c r="I260" s="243"/>
      <c r="J260" s="243"/>
      <c r="K260" s="243"/>
      <c r="L260" s="243"/>
      <c r="M260" s="243"/>
      <c r="N260" s="243"/>
      <c r="O260" s="242">
        <v>290.58</v>
      </c>
    </row>
    <row r="261" spans="1:15" x14ac:dyDescent="0.25">
      <c r="A261" s="241" t="s">
        <v>1097</v>
      </c>
      <c r="B261" s="241" t="s">
        <v>890</v>
      </c>
      <c r="C261" s="244">
        <v>171.06</v>
      </c>
      <c r="D261" s="246"/>
      <c r="E261" s="246"/>
      <c r="F261" s="246"/>
      <c r="G261" s="246"/>
      <c r="H261" s="246"/>
      <c r="I261" s="246"/>
      <c r="J261" s="246"/>
      <c r="K261" s="246"/>
      <c r="L261" s="246"/>
      <c r="M261" s="246"/>
      <c r="N261" s="246"/>
      <c r="O261" s="244">
        <v>171.06</v>
      </c>
    </row>
    <row r="262" spans="1:15" x14ac:dyDescent="0.25">
      <c r="A262" s="239"/>
      <c r="B262" s="239" t="s">
        <v>1098</v>
      </c>
      <c r="C262" s="245">
        <v>2947.43</v>
      </c>
      <c r="D262" s="245">
        <v>3639.01</v>
      </c>
      <c r="E262" s="245">
        <v>2386.16</v>
      </c>
      <c r="F262" s="240"/>
      <c r="G262" s="240"/>
      <c r="H262" s="240"/>
      <c r="I262" s="240"/>
      <c r="J262" s="240"/>
      <c r="K262" s="240"/>
      <c r="L262" s="240"/>
      <c r="M262" s="240"/>
      <c r="N262" s="240"/>
      <c r="O262" s="245">
        <v>8972.6</v>
      </c>
    </row>
    <row r="263" spans="1:15" x14ac:dyDescent="0.25">
      <c r="A263" s="235"/>
      <c r="B263" s="235"/>
      <c r="C263" s="236"/>
      <c r="D263" s="236"/>
      <c r="E263" s="236"/>
      <c r="F263" s="236"/>
      <c r="G263" s="236"/>
      <c r="H263" s="236"/>
      <c r="I263" s="236"/>
      <c r="J263" s="236"/>
      <c r="K263" s="236"/>
      <c r="L263" s="236"/>
      <c r="M263" s="236"/>
      <c r="N263" s="236"/>
      <c r="O263" s="236"/>
    </row>
    <row r="264" spans="1:15" x14ac:dyDescent="0.25">
      <c r="A264" s="239"/>
      <c r="B264" s="239" t="s">
        <v>1099</v>
      </c>
      <c r="C264" s="240"/>
      <c r="D264" s="240"/>
      <c r="E264" s="240"/>
      <c r="F264" s="240"/>
      <c r="G264" s="240"/>
      <c r="H264" s="240"/>
      <c r="I264" s="240"/>
      <c r="J264" s="240"/>
      <c r="K264" s="240"/>
      <c r="L264" s="240"/>
      <c r="M264" s="240"/>
      <c r="N264" s="240"/>
      <c r="O264" s="240"/>
    </row>
    <row r="265" spans="1:15" x14ac:dyDescent="0.25">
      <c r="A265" s="241" t="s">
        <v>1100</v>
      </c>
      <c r="B265" s="241" t="s">
        <v>997</v>
      </c>
      <c r="C265" s="242">
        <v>3209.71</v>
      </c>
      <c r="D265" s="242">
        <v>2757.82</v>
      </c>
      <c r="E265" s="242">
        <v>2096.7600000000002</v>
      </c>
      <c r="F265" s="243"/>
      <c r="G265" s="243"/>
      <c r="H265" s="243"/>
      <c r="I265" s="243"/>
      <c r="J265" s="243"/>
      <c r="K265" s="243"/>
      <c r="L265" s="243"/>
      <c r="M265" s="243"/>
      <c r="N265" s="243"/>
      <c r="O265" s="242">
        <v>8064.29</v>
      </c>
    </row>
    <row r="266" spans="1:15" x14ac:dyDescent="0.25">
      <c r="A266" s="241" t="s">
        <v>1102</v>
      </c>
      <c r="B266" s="241" t="s">
        <v>847</v>
      </c>
      <c r="C266" s="243"/>
      <c r="D266" s="242">
        <v>100</v>
      </c>
      <c r="E266" s="242">
        <v>100</v>
      </c>
      <c r="F266" s="243"/>
      <c r="G266" s="243"/>
      <c r="H266" s="243"/>
      <c r="I266" s="243"/>
      <c r="J266" s="243"/>
      <c r="K266" s="243"/>
      <c r="L266" s="243"/>
      <c r="M266" s="243"/>
      <c r="N266" s="243"/>
      <c r="O266" s="242">
        <v>200</v>
      </c>
    </row>
    <row r="267" spans="1:15" x14ac:dyDescent="0.25">
      <c r="A267" s="241" t="s">
        <v>1103</v>
      </c>
      <c r="B267" s="241" t="s">
        <v>850</v>
      </c>
      <c r="C267" s="242">
        <v>40.29</v>
      </c>
      <c r="D267" s="242">
        <v>797.91</v>
      </c>
      <c r="E267" s="242">
        <v>224.52</v>
      </c>
      <c r="F267" s="243"/>
      <c r="G267" s="243"/>
      <c r="H267" s="243"/>
      <c r="I267" s="243"/>
      <c r="J267" s="243"/>
      <c r="K267" s="243"/>
      <c r="L267" s="243"/>
      <c r="M267" s="243"/>
      <c r="N267" s="243"/>
      <c r="O267" s="242">
        <v>1062.72</v>
      </c>
    </row>
    <row r="268" spans="1:15" x14ac:dyDescent="0.25">
      <c r="A268" s="241" t="s">
        <v>1104</v>
      </c>
      <c r="B268" s="241" t="s">
        <v>852</v>
      </c>
      <c r="C268" s="242">
        <v>143.35</v>
      </c>
      <c r="D268" s="242">
        <v>556.65</v>
      </c>
      <c r="E268" s="242">
        <v>1058.82</v>
      </c>
      <c r="F268" s="243"/>
      <c r="G268" s="243"/>
      <c r="H268" s="243"/>
      <c r="I268" s="243"/>
      <c r="J268" s="243"/>
      <c r="K268" s="243"/>
      <c r="L268" s="243"/>
      <c r="M268" s="243"/>
      <c r="N268" s="243"/>
      <c r="O268" s="242">
        <v>1758.82</v>
      </c>
    </row>
    <row r="269" spans="1:15" x14ac:dyDescent="0.25">
      <c r="A269" s="241" t="s">
        <v>1105</v>
      </c>
      <c r="B269" s="241" t="s">
        <v>825</v>
      </c>
      <c r="C269" s="242">
        <v>229.37</v>
      </c>
      <c r="D269" s="242">
        <v>313.13</v>
      </c>
      <c r="E269" s="242">
        <v>252.68</v>
      </c>
      <c r="F269" s="243"/>
      <c r="G269" s="243"/>
      <c r="H269" s="243"/>
      <c r="I269" s="243"/>
      <c r="J269" s="243"/>
      <c r="K269" s="243"/>
      <c r="L269" s="243"/>
      <c r="M269" s="243"/>
      <c r="N269" s="243"/>
      <c r="O269" s="242">
        <v>795.18</v>
      </c>
    </row>
    <row r="270" spans="1:15" x14ac:dyDescent="0.25">
      <c r="A270" s="241" t="s">
        <v>1435</v>
      </c>
      <c r="B270" s="241" t="s">
        <v>1417</v>
      </c>
      <c r="C270" s="246"/>
      <c r="D270" s="244">
        <v>261.8</v>
      </c>
      <c r="E270" s="244">
        <v>-38.04</v>
      </c>
      <c r="F270" s="246"/>
      <c r="G270" s="246"/>
      <c r="H270" s="246"/>
      <c r="I270" s="246"/>
      <c r="J270" s="246"/>
      <c r="K270" s="246"/>
      <c r="L270" s="246"/>
      <c r="M270" s="246"/>
      <c r="N270" s="246"/>
      <c r="O270" s="244">
        <v>223.76</v>
      </c>
    </row>
    <row r="271" spans="1:15" x14ac:dyDescent="0.25">
      <c r="A271" s="239"/>
      <c r="B271" s="239" t="s">
        <v>1108</v>
      </c>
      <c r="C271" s="245">
        <v>3622.72</v>
      </c>
      <c r="D271" s="245">
        <v>4787.3100000000004</v>
      </c>
      <c r="E271" s="245">
        <v>3694.74</v>
      </c>
      <c r="F271" s="240"/>
      <c r="G271" s="240"/>
      <c r="H271" s="240"/>
      <c r="I271" s="240"/>
      <c r="J271" s="240"/>
      <c r="K271" s="240"/>
      <c r="L271" s="240"/>
      <c r="M271" s="240"/>
      <c r="N271" s="240"/>
      <c r="O271" s="245">
        <v>12104.77</v>
      </c>
    </row>
    <row r="272" spans="1:15" x14ac:dyDescent="0.25">
      <c r="A272" s="235"/>
      <c r="B272" s="235"/>
      <c r="C272" s="236"/>
      <c r="D272" s="236"/>
      <c r="E272" s="236"/>
      <c r="F272" s="236"/>
      <c r="G272" s="236"/>
      <c r="H272" s="236"/>
      <c r="I272" s="236"/>
      <c r="J272" s="236"/>
      <c r="K272" s="236"/>
      <c r="L272" s="236"/>
      <c r="M272" s="236"/>
      <c r="N272" s="236"/>
      <c r="O272" s="236"/>
    </row>
    <row r="273" spans="1:15" x14ac:dyDescent="0.25">
      <c r="A273" s="239"/>
      <c r="B273" s="239" t="s">
        <v>585</v>
      </c>
      <c r="C273" s="240"/>
      <c r="D273" s="240"/>
      <c r="E273" s="240"/>
      <c r="F273" s="240"/>
      <c r="G273" s="240"/>
      <c r="H273" s="240"/>
      <c r="I273" s="240"/>
      <c r="J273" s="240"/>
      <c r="K273" s="240"/>
      <c r="L273" s="240"/>
      <c r="M273" s="240"/>
      <c r="N273" s="240"/>
      <c r="O273" s="240"/>
    </row>
    <row r="274" spans="1:15" x14ac:dyDescent="0.25">
      <c r="A274" s="241" t="s">
        <v>1116</v>
      </c>
      <c r="B274" s="241" t="s">
        <v>1117</v>
      </c>
      <c r="C274" s="242">
        <v>2488.0500000000002</v>
      </c>
      <c r="D274" s="242">
        <v>1099.8</v>
      </c>
      <c r="E274" s="242">
        <v>253.8</v>
      </c>
      <c r="F274" s="243"/>
      <c r="G274" s="243"/>
      <c r="H274" s="243"/>
      <c r="I274" s="243"/>
      <c r="J274" s="243"/>
      <c r="K274" s="243"/>
      <c r="L274" s="243"/>
      <c r="M274" s="243"/>
      <c r="N274" s="243"/>
      <c r="O274" s="242">
        <v>3841.65</v>
      </c>
    </row>
    <row r="275" spans="1:15" x14ac:dyDescent="0.25">
      <c r="A275" s="241" t="s">
        <v>1118</v>
      </c>
      <c r="B275" s="241" t="s">
        <v>1119</v>
      </c>
      <c r="C275" s="242">
        <v>3199.06</v>
      </c>
      <c r="D275" s="242">
        <v>3750.6</v>
      </c>
      <c r="E275" s="242">
        <v>2880.16</v>
      </c>
      <c r="F275" s="243"/>
      <c r="G275" s="243"/>
      <c r="H275" s="243"/>
      <c r="I275" s="243"/>
      <c r="J275" s="243"/>
      <c r="K275" s="243"/>
      <c r="L275" s="243"/>
      <c r="M275" s="243"/>
      <c r="N275" s="243"/>
      <c r="O275" s="242">
        <v>9829.82</v>
      </c>
    </row>
    <row r="276" spans="1:15" x14ac:dyDescent="0.25">
      <c r="A276" s="241" t="s">
        <v>1120</v>
      </c>
      <c r="B276" s="241" t="s">
        <v>1121</v>
      </c>
      <c r="C276" s="242">
        <v>9792.15</v>
      </c>
      <c r="D276" s="242">
        <v>4681.2</v>
      </c>
      <c r="E276" s="242">
        <v>2030.4</v>
      </c>
      <c r="F276" s="243"/>
      <c r="G276" s="243"/>
      <c r="H276" s="243"/>
      <c r="I276" s="243"/>
      <c r="J276" s="243"/>
      <c r="K276" s="243"/>
      <c r="L276" s="243"/>
      <c r="M276" s="243"/>
      <c r="N276" s="243"/>
      <c r="O276" s="242">
        <v>16503.75</v>
      </c>
    </row>
    <row r="277" spans="1:15" x14ac:dyDescent="0.25">
      <c r="A277" s="241" t="s">
        <v>1126</v>
      </c>
      <c r="B277" s="241" t="s">
        <v>1127</v>
      </c>
      <c r="C277" s="242">
        <v>107.67</v>
      </c>
      <c r="D277" s="242">
        <v>733.2</v>
      </c>
      <c r="E277" s="243"/>
      <c r="F277" s="243"/>
      <c r="G277" s="243"/>
      <c r="H277" s="243"/>
      <c r="I277" s="243"/>
      <c r="J277" s="243"/>
      <c r="K277" s="243"/>
      <c r="L277" s="243"/>
      <c r="M277" s="243"/>
      <c r="N277" s="243"/>
      <c r="O277" s="242">
        <v>840.87</v>
      </c>
    </row>
    <row r="278" spans="1:15" x14ac:dyDescent="0.25">
      <c r="A278" s="241" t="s">
        <v>1128</v>
      </c>
      <c r="B278" s="241" t="s">
        <v>1129</v>
      </c>
      <c r="C278" s="242">
        <v>512.16</v>
      </c>
      <c r="D278" s="242">
        <v>249.1</v>
      </c>
      <c r="E278" s="243"/>
      <c r="F278" s="243"/>
      <c r="G278" s="243"/>
      <c r="H278" s="243"/>
      <c r="I278" s="243"/>
      <c r="J278" s="243"/>
      <c r="K278" s="243"/>
      <c r="L278" s="243"/>
      <c r="M278" s="243"/>
      <c r="N278" s="243"/>
      <c r="O278" s="242">
        <v>761.26</v>
      </c>
    </row>
    <row r="279" spans="1:15" x14ac:dyDescent="0.25">
      <c r="A279" s="241" t="s">
        <v>1134</v>
      </c>
      <c r="B279" s="241" t="s">
        <v>867</v>
      </c>
      <c r="C279" s="242">
        <v>84.51</v>
      </c>
      <c r="D279" s="243"/>
      <c r="E279" s="243"/>
      <c r="F279" s="243"/>
      <c r="G279" s="243"/>
      <c r="H279" s="243"/>
      <c r="I279" s="243"/>
      <c r="J279" s="243"/>
      <c r="K279" s="243"/>
      <c r="L279" s="243"/>
      <c r="M279" s="243"/>
      <c r="N279" s="243"/>
      <c r="O279" s="242">
        <v>84.51</v>
      </c>
    </row>
    <row r="280" spans="1:15" x14ac:dyDescent="0.25">
      <c r="A280" s="241" t="s">
        <v>1436</v>
      </c>
      <c r="B280" s="241" t="s">
        <v>1417</v>
      </c>
      <c r="C280" s="246"/>
      <c r="D280" s="244">
        <v>143.77000000000001</v>
      </c>
      <c r="E280" s="244">
        <v>-20.89</v>
      </c>
      <c r="F280" s="246"/>
      <c r="G280" s="246"/>
      <c r="H280" s="246"/>
      <c r="I280" s="246"/>
      <c r="J280" s="246"/>
      <c r="K280" s="246"/>
      <c r="L280" s="246"/>
      <c r="M280" s="246"/>
      <c r="N280" s="246"/>
      <c r="O280" s="244">
        <v>122.88</v>
      </c>
    </row>
    <row r="281" spans="1:15" x14ac:dyDescent="0.25">
      <c r="A281" s="239"/>
      <c r="B281" s="239" t="s">
        <v>1139</v>
      </c>
      <c r="C281" s="245">
        <v>16183.6</v>
      </c>
      <c r="D281" s="245">
        <v>10657.67</v>
      </c>
      <c r="E281" s="245">
        <v>5143.47</v>
      </c>
      <c r="F281" s="240"/>
      <c r="G281" s="240"/>
      <c r="H281" s="240"/>
      <c r="I281" s="240"/>
      <c r="J281" s="240"/>
      <c r="K281" s="240"/>
      <c r="L281" s="240"/>
      <c r="M281" s="240"/>
      <c r="N281" s="240"/>
      <c r="O281" s="245">
        <v>31984.74</v>
      </c>
    </row>
    <row r="282" spans="1:15" x14ac:dyDescent="0.25">
      <c r="A282" s="235"/>
      <c r="B282" s="235"/>
      <c r="C282" s="236"/>
      <c r="D282" s="236"/>
      <c r="E282" s="236"/>
      <c r="F282" s="236"/>
      <c r="G282" s="236"/>
      <c r="H282" s="236"/>
      <c r="I282" s="236"/>
      <c r="J282" s="236"/>
      <c r="K282" s="236"/>
      <c r="L282" s="236"/>
      <c r="M282" s="236"/>
      <c r="N282" s="236"/>
      <c r="O282" s="236"/>
    </row>
    <row r="283" spans="1:15" x14ac:dyDescent="0.25">
      <c r="A283" s="239"/>
      <c r="B283" s="239" t="s">
        <v>589</v>
      </c>
      <c r="C283" s="240"/>
      <c r="D283" s="240"/>
      <c r="E283" s="240"/>
      <c r="F283" s="240"/>
      <c r="G283" s="240"/>
      <c r="H283" s="240"/>
      <c r="I283" s="240"/>
      <c r="J283" s="240"/>
      <c r="K283" s="240"/>
      <c r="L283" s="240"/>
      <c r="M283" s="240"/>
      <c r="N283" s="240"/>
      <c r="O283" s="240"/>
    </row>
    <row r="284" spans="1:15" x14ac:dyDescent="0.25">
      <c r="A284" s="241" t="s">
        <v>1437</v>
      </c>
      <c r="B284" s="241" t="s">
        <v>1417</v>
      </c>
      <c r="C284" s="246"/>
      <c r="D284" s="244">
        <v>108.86</v>
      </c>
      <c r="E284" s="244">
        <v>-15.82</v>
      </c>
      <c r="F284" s="246"/>
      <c r="G284" s="246"/>
      <c r="H284" s="246"/>
      <c r="I284" s="246"/>
      <c r="J284" s="246"/>
      <c r="K284" s="246"/>
      <c r="L284" s="246"/>
      <c r="M284" s="246"/>
      <c r="N284" s="246"/>
      <c r="O284" s="244">
        <v>93.04</v>
      </c>
    </row>
    <row r="285" spans="1:15" x14ac:dyDescent="0.25">
      <c r="A285" s="239"/>
      <c r="B285" s="239" t="s">
        <v>1145</v>
      </c>
      <c r="C285" s="240"/>
      <c r="D285" s="245">
        <v>108.86</v>
      </c>
      <c r="E285" s="245">
        <v>-15.82</v>
      </c>
      <c r="F285" s="240"/>
      <c r="G285" s="240"/>
      <c r="H285" s="240"/>
      <c r="I285" s="240"/>
      <c r="J285" s="240"/>
      <c r="K285" s="240"/>
      <c r="L285" s="240"/>
      <c r="M285" s="240"/>
      <c r="N285" s="240"/>
      <c r="O285" s="245">
        <v>93.04</v>
      </c>
    </row>
    <row r="286" spans="1:15" x14ac:dyDescent="0.25">
      <c r="A286" s="235"/>
      <c r="B286" s="235"/>
      <c r="C286" s="236"/>
      <c r="D286" s="236"/>
      <c r="E286" s="236"/>
      <c r="F286" s="236"/>
      <c r="G286" s="236"/>
      <c r="H286" s="236"/>
      <c r="I286" s="236"/>
      <c r="J286" s="236"/>
      <c r="K286" s="236"/>
      <c r="L286" s="236"/>
      <c r="M286" s="236"/>
      <c r="N286" s="236"/>
      <c r="O286" s="236"/>
    </row>
    <row r="287" spans="1:15" x14ac:dyDescent="0.25">
      <c r="A287" s="239"/>
      <c r="B287" s="239" t="s">
        <v>587</v>
      </c>
      <c r="C287" s="247"/>
      <c r="D287" s="247"/>
      <c r="E287" s="247"/>
      <c r="F287" s="247"/>
      <c r="G287" s="247"/>
      <c r="H287" s="247"/>
      <c r="I287" s="247"/>
      <c r="J287" s="247"/>
      <c r="K287" s="247"/>
      <c r="L287" s="247"/>
      <c r="M287" s="247"/>
      <c r="N287" s="247"/>
      <c r="O287" s="247"/>
    </row>
    <row r="288" spans="1:15" x14ac:dyDescent="0.25">
      <c r="A288" s="235"/>
      <c r="B288" s="235"/>
      <c r="C288" s="236"/>
      <c r="D288" s="236"/>
      <c r="E288" s="236"/>
      <c r="F288" s="236"/>
      <c r="G288" s="236"/>
      <c r="H288" s="236"/>
      <c r="I288" s="236"/>
      <c r="J288" s="236"/>
      <c r="K288" s="236"/>
      <c r="L288" s="236"/>
      <c r="M288" s="236"/>
      <c r="N288" s="236"/>
      <c r="O288" s="236"/>
    </row>
    <row r="289" spans="1:15" x14ac:dyDescent="0.25">
      <c r="A289" s="239"/>
      <c r="B289" s="239" t="s">
        <v>1150</v>
      </c>
      <c r="C289" s="247"/>
      <c r="D289" s="247"/>
      <c r="E289" s="247"/>
      <c r="F289" s="247"/>
      <c r="G289" s="247"/>
      <c r="H289" s="247"/>
      <c r="I289" s="247"/>
      <c r="J289" s="247"/>
      <c r="K289" s="247"/>
      <c r="L289" s="247"/>
      <c r="M289" s="247"/>
      <c r="N289" s="247"/>
      <c r="O289" s="247"/>
    </row>
    <row r="290" spans="1:15" x14ac:dyDescent="0.25">
      <c r="A290" s="235"/>
      <c r="B290" s="235"/>
      <c r="C290" s="236"/>
      <c r="D290" s="236"/>
      <c r="E290" s="236"/>
      <c r="F290" s="236"/>
      <c r="G290" s="236"/>
      <c r="H290" s="236"/>
      <c r="I290" s="236"/>
      <c r="J290" s="236"/>
      <c r="K290" s="236"/>
      <c r="L290" s="236"/>
      <c r="M290" s="236"/>
      <c r="N290" s="236"/>
      <c r="O290" s="236"/>
    </row>
    <row r="291" spans="1:15" x14ac:dyDescent="0.25">
      <c r="A291" s="239"/>
      <c r="B291" s="239" t="s">
        <v>1158</v>
      </c>
      <c r="C291" s="247"/>
      <c r="D291" s="247"/>
      <c r="E291" s="247"/>
      <c r="F291" s="247"/>
      <c r="G291" s="247"/>
      <c r="H291" s="247"/>
      <c r="I291" s="247"/>
      <c r="J291" s="247"/>
      <c r="K291" s="247"/>
      <c r="L291" s="247"/>
      <c r="M291" s="247"/>
      <c r="N291" s="247"/>
      <c r="O291" s="247"/>
    </row>
    <row r="292" spans="1:15" x14ac:dyDescent="0.25">
      <c r="A292" s="235"/>
      <c r="B292" s="235"/>
      <c r="C292" s="236"/>
      <c r="D292" s="236"/>
      <c r="E292" s="236"/>
      <c r="F292" s="236"/>
      <c r="G292" s="236"/>
      <c r="H292" s="236"/>
      <c r="I292" s="236"/>
      <c r="J292" s="236"/>
      <c r="K292" s="236"/>
      <c r="L292" s="236"/>
      <c r="M292" s="236"/>
      <c r="N292" s="236"/>
      <c r="O292" s="236"/>
    </row>
    <row r="293" spans="1:15" x14ac:dyDescent="0.25">
      <c r="A293" s="239"/>
      <c r="B293" s="239" t="s">
        <v>811</v>
      </c>
      <c r="C293" s="247"/>
      <c r="D293" s="247"/>
      <c r="E293" s="247"/>
      <c r="F293" s="247"/>
      <c r="G293" s="247"/>
      <c r="H293" s="247"/>
      <c r="I293" s="247"/>
      <c r="J293" s="247"/>
      <c r="K293" s="247"/>
      <c r="L293" s="247"/>
      <c r="M293" s="247"/>
      <c r="N293" s="247"/>
      <c r="O293" s="247"/>
    </row>
    <row r="294" spans="1:15" x14ac:dyDescent="0.25">
      <c r="A294" s="250"/>
      <c r="B294" s="250"/>
      <c r="C294" s="251"/>
      <c r="D294" s="251"/>
      <c r="E294" s="251"/>
      <c r="F294" s="251"/>
      <c r="G294" s="251"/>
      <c r="H294" s="251"/>
      <c r="I294" s="251"/>
      <c r="J294" s="251"/>
      <c r="K294" s="251"/>
      <c r="L294" s="251"/>
      <c r="M294" s="251"/>
      <c r="N294" s="251"/>
      <c r="O294" s="251"/>
    </row>
    <row r="295" spans="1:15" x14ac:dyDescent="0.25">
      <c r="A295" s="239"/>
      <c r="B295" s="239" t="s">
        <v>1163</v>
      </c>
      <c r="C295" s="247"/>
      <c r="D295" s="247"/>
      <c r="E295" s="247"/>
      <c r="F295" s="247"/>
      <c r="G295" s="247"/>
      <c r="H295" s="247"/>
      <c r="I295" s="247"/>
      <c r="J295" s="247"/>
      <c r="K295" s="247"/>
      <c r="L295" s="247"/>
      <c r="M295" s="247"/>
      <c r="N295" s="247"/>
      <c r="O295" s="247"/>
    </row>
    <row r="296" spans="1:15" x14ac:dyDescent="0.25">
      <c r="A296" s="241"/>
      <c r="B296" s="241"/>
      <c r="C296" s="243"/>
      <c r="D296" s="243"/>
      <c r="E296" s="243"/>
      <c r="F296" s="243"/>
      <c r="G296" s="243"/>
      <c r="H296" s="243"/>
      <c r="I296" s="243"/>
      <c r="J296" s="243"/>
      <c r="K296" s="243"/>
      <c r="L296" s="243"/>
      <c r="M296" s="243"/>
      <c r="N296" s="243"/>
      <c r="O296" s="243"/>
    </row>
    <row r="297" spans="1:15" x14ac:dyDescent="0.25">
      <c r="A297" s="239"/>
      <c r="B297" s="239" t="s">
        <v>1164</v>
      </c>
      <c r="C297" s="247"/>
      <c r="D297" s="247"/>
      <c r="E297" s="247"/>
      <c r="F297" s="247"/>
      <c r="G297" s="247"/>
      <c r="H297" s="247"/>
      <c r="I297" s="247"/>
      <c r="J297" s="247"/>
      <c r="K297" s="247"/>
      <c r="L297" s="247"/>
      <c r="M297" s="247"/>
      <c r="N297" s="247"/>
      <c r="O297" s="247"/>
    </row>
    <row r="298" spans="1:15" x14ac:dyDescent="0.25">
      <c r="A298" s="241"/>
      <c r="B298" s="241"/>
      <c r="C298" s="243"/>
      <c r="D298" s="243"/>
      <c r="E298" s="243"/>
      <c r="F298" s="243"/>
      <c r="G298" s="243"/>
      <c r="H298" s="243"/>
      <c r="I298" s="243"/>
      <c r="J298" s="243"/>
      <c r="K298" s="243"/>
      <c r="L298" s="243"/>
      <c r="M298" s="243"/>
      <c r="N298" s="243"/>
      <c r="O298" s="243"/>
    </row>
    <row r="299" spans="1:15" x14ac:dyDescent="0.25">
      <c r="A299" s="239"/>
      <c r="B299" s="239" t="s">
        <v>1165</v>
      </c>
      <c r="C299" s="247"/>
      <c r="D299" s="247"/>
      <c r="E299" s="247"/>
      <c r="F299" s="247"/>
      <c r="G299" s="247"/>
      <c r="H299" s="247"/>
      <c r="I299" s="247"/>
      <c r="J299" s="247"/>
      <c r="K299" s="247"/>
      <c r="L299" s="247"/>
      <c r="M299" s="247"/>
      <c r="N299" s="247"/>
      <c r="O299" s="247"/>
    </row>
    <row r="300" spans="1:15" x14ac:dyDescent="0.25">
      <c r="A300" s="239"/>
      <c r="B300" s="239"/>
      <c r="C300" s="240"/>
      <c r="D300" s="240"/>
      <c r="E300" s="240"/>
      <c r="F300" s="240"/>
      <c r="G300" s="240"/>
      <c r="H300" s="240"/>
      <c r="I300" s="240"/>
      <c r="J300" s="240"/>
      <c r="K300" s="240"/>
      <c r="L300" s="240"/>
      <c r="M300" s="240"/>
      <c r="N300" s="240"/>
      <c r="O300" s="240"/>
    </row>
    <row r="301" spans="1:15" x14ac:dyDescent="0.25">
      <c r="A301" s="239"/>
      <c r="B301" s="239" t="s">
        <v>1538</v>
      </c>
      <c r="C301" s="247"/>
      <c r="D301" s="247"/>
      <c r="E301" s="247"/>
      <c r="F301" s="247"/>
      <c r="G301" s="247"/>
      <c r="H301" s="247"/>
      <c r="I301" s="247"/>
      <c r="J301" s="247"/>
      <c r="K301" s="247"/>
      <c r="L301" s="247"/>
      <c r="M301" s="247"/>
      <c r="N301" s="247"/>
      <c r="O301" s="247"/>
    </row>
    <row r="302" spans="1:15" x14ac:dyDescent="0.25">
      <c r="A302" s="241"/>
      <c r="B302" s="241"/>
      <c r="C302" s="243"/>
      <c r="D302" s="243"/>
      <c r="E302" s="243"/>
      <c r="F302" s="243"/>
      <c r="G302" s="243"/>
      <c r="H302" s="243"/>
      <c r="I302" s="243"/>
      <c r="J302" s="243"/>
      <c r="K302" s="243"/>
      <c r="L302" s="243"/>
      <c r="M302" s="243"/>
      <c r="N302" s="243"/>
      <c r="O302" s="243"/>
    </row>
    <row r="303" spans="1:15" x14ac:dyDescent="0.25">
      <c r="A303" s="239"/>
      <c r="B303" s="239" t="s">
        <v>1166</v>
      </c>
      <c r="C303" s="247"/>
      <c r="D303" s="247"/>
      <c r="E303" s="247"/>
      <c r="F303" s="247"/>
      <c r="G303" s="247"/>
      <c r="H303" s="247"/>
      <c r="I303" s="247"/>
      <c r="J303" s="247"/>
      <c r="K303" s="247"/>
      <c r="L303" s="247"/>
      <c r="M303" s="247"/>
      <c r="N303" s="247"/>
      <c r="O303" s="247"/>
    </row>
    <row r="304" spans="1:15" x14ac:dyDescent="0.25">
      <c r="A304" s="235"/>
      <c r="B304" s="235"/>
      <c r="C304" s="236"/>
      <c r="D304" s="236"/>
      <c r="E304" s="236"/>
      <c r="F304" s="236"/>
      <c r="G304" s="236"/>
      <c r="H304" s="236"/>
      <c r="I304" s="236"/>
      <c r="J304" s="236"/>
      <c r="K304" s="236"/>
      <c r="L304" s="236"/>
      <c r="M304" s="236"/>
      <c r="N304" s="236"/>
      <c r="O304" s="236"/>
    </row>
    <row r="305" spans="1:15" x14ac:dyDescent="0.25">
      <c r="A305" s="239"/>
      <c r="B305" s="239" t="s">
        <v>1167</v>
      </c>
      <c r="C305" s="240"/>
      <c r="D305" s="240"/>
      <c r="E305" s="240"/>
      <c r="F305" s="240"/>
      <c r="G305" s="240"/>
      <c r="H305" s="240"/>
      <c r="I305" s="240"/>
      <c r="J305" s="240"/>
      <c r="K305" s="240"/>
      <c r="L305" s="240"/>
      <c r="M305" s="240"/>
      <c r="N305" s="240"/>
      <c r="O305" s="240"/>
    </row>
    <row r="306" spans="1:15" x14ac:dyDescent="0.25">
      <c r="A306" s="241" t="s">
        <v>1168</v>
      </c>
      <c r="B306" s="241" t="s">
        <v>1169</v>
      </c>
      <c r="C306" s="242">
        <v>9053.85</v>
      </c>
      <c r="D306" s="242">
        <v>9434.61</v>
      </c>
      <c r="E306" s="242">
        <v>6303.66</v>
      </c>
      <c r="F306" s="243"/>
      <c r="G306" s="243"/>
      <c r="H306" s="243"/>
      <c r="I306" s="243"/>
      <c r="J306" s="243"/>
      <c r="K306" s="243"/>
      <c r="L306" s="243"/>
      <c r="M306" s="243"/>
      <c r="N306" s="243"/>
      <c r="O306" s="242">
        <v>24792.12</v>
      </c>
    </row>
    <row r="307" spans="1:15" x14ac:dyDescent="0.25">
      <c r="A307" s="241" t="s">
        <v>1172</v>
      </c>
      <c r="B307" s="241" t="s">
        <v>841</v>
      </c>
      <c r="C307" s="242">
        <v>7043.47</v>
      </c>
      <c r="D307" s="242">
        <v>5967.69</v>
      </c>
      <c r="E307" s="242">
        <v>5471.03</v>
      </c>
      <c r="F307" s="243"/>
      <c r="G307" s="243"/>
      <c r="H307" s="243"/>
      <c r="I307" s="243"/>
      <c r="J307" s="243"/>
      <c r="K307" s="243"/>
      <c r="L307" s="243"/>
      <c r="M307" s="243"/>
      <c r="N307" s="243"/>
      <c r="O307" s="242">
        <v>18482.189999999999</v>
      </c>
    </row>
    <row r="308" spans="1:15" x14ac:dyDescent="0.25">
      <c r="A308" s="241" t="s">
        <v>1173</v>
      </c>
      <c r="B308" s="241" t="s">
        <v>1174</v>
      </c>
      <c r="C308" s="242">
        <v>1163.47</v>
      </c>
      <c r="D308" s="242">
        <v>1192.31</v>
      </c>
      <c r="E308" s="242">
        <v>596.15</v>
      </c>
      <c r="F308" s="243"/>
      <c r="G308" s="243"/>
      <c r="H308" s="243"/>
      <c r="I308" s="243"/>
      <c r="J308" s="243"/>
      <c r="K308" s="243"/>
      <c r="L308" s="243"/>
      <c r="M308" s="243"/>
      <c r="N308" s="243"/>
      <c r="O308" s="242">
        <v>2951.93</v>
      </c>
    </row>
    <row r="309" spans="1:15" x14ac:dyDescent="0.25">
      <c r="A309" s="241" t="s">
        <v>1175</v>
      </c>
      <c r="B309" s="241" t="s">
        <v>847</v>
      </c>
      <c r="C309" s="243"/>
      <c r="D309" s="243"/>
      <c r="E309" s="242">
        <v>300</v>
      </c>
      <c r="F309" s="243"/>
      <c r="G309" s="243"/>
      <c r="H309" s="243"/>
      <c r="I309" s="243"/>
      <c r="J309" s="243"/>
      <c r="K309" s="243"/>
      <c r="L309" s="243"/>
      <c r="M309" s="243"/>
      <c r="N309" s="243"/>
      <c r="O309" s="242">
        <v>300</v>
      </c>
    </row>
    <row r="310" spans="1:15" x14ac:dyDescent="0.25">
      <c r="A310" s="241" t="s">
        <v>1176</v>
      </c>
      <c r="B310" s="241" t="s">
        <v>850</v>
      </c>
      <c r="C310" s="243"/>
      <c r="D310" s="242">
        <v>56.67</v>
      </c>
      <c r="E310" s="242">
        <v>19.170000000000002</v>
      </c>
      <c r="F310" s="243"/>
      <c r="G310" s="243"/>
      <c r="H310" s="243"/>
      <c r="I310" s="243"/>
      <c r="J310" s="243"/>
      <c r="K310" s="243"/>
      <c r="L310" s="243"/>
      <c r="M310" s="243"/>
      <c r="N310" s="243"/>
      <c r="O310" s="242">
        <v>75.84</v>
      </c>
    </row>
    <row r="311" spans="1:15" x14ac:dyDescent="0.25">
      <c r="A311" s="241" t="s">
        <v>1177</v>
      </c>
      <c r="B311" s="241" t="s">
        <v>852</v>
      </c>
      <c r="C311" s="242">
        <v>-239.1</v>
      </c>
      <c r="D311" s="242">
        <v>2456.21</v>
      </c>
      <c r="E311" s="242">
        <v>701.51</v>
      </c>
      <c r="F311" s="243"/>
      <c r="G311" s="243"/>
      <c r="H311" s="243"/>
      <c r="I311" s="243"/>
      <c r="J311" s="243"/>
      <c r="K311" s="243"/>
      <c r="L311" s="243"/>
      <c r="M311" s="243"/>
      <c r="N311" s="243"/>
      <c r="O311" s="242">
        <v>2918.62</v>
      </c>
    </row>
    <row r="312" spans="1:15" x14ac:dyDescent="0.25">
      <c r="A312" s="241" t="s">
        <v>1178</v>
      </c>
      <c r="B312" s="241" t="s">
        <v>825</v>
      </c>
      <c r="C312" s="242">
        <v>560.78</v>
      </c>
      <c r="D312" s="242">
        <v>-1454.79</v>
      </c>
      <c r="E312" s="242">
        <v>-836.38</v>
      </c>
      <c r="F312" s="243"/>
      <c r="G312" s="243"/>
      <c r="H312" s="243"/>
      <c r="I312" s="243"/>
      <c r="J312" s="243"/>
      <c r="K312" s="243"/>
      <c r="L312" s="243"/>
      <c r="M312" s="243"/>
      <c r="N312" s="243"/>
      <c r="O312" s="242">
        <v>-1730.39</v>
      </c>
    </row>
    <row r="313" spans="1:15" x14ac:dyDescent="0.25">
      <c r="A313" s="241" t="s">
        <v>1440</v>
      </c>
      <c r="B313" s="241" t="s">
        <v>1441</v>
      </c>
      <c r="C313" s="242">
        <v>691.61</v>
      </c>
      <c r="D313" s="242">
        <v>2971.49</v>
      </c>
      <c r="E313" s="242">
        <v>1880.04</v>
      </c>
      <c r="F313" s="243"/>
      <c r="G313" s="243"/>
      <c r="H313" s="243"/>
      <c r="I313" s="243"/>
      <c r="J313" s="243"/>
      <c r="K313" s="243"/>
      <c r="L313" s="243"/>
      <c r="M313" s="243"/>
      <c r="N313" s="243"/>
      <c r="O313" s="242">
        <v>5543.14</v>
      </c>
    </row>
    <row r="314" spans="1:15" x14ac:dyDescent="0.25">
      <c r="A314" s="241" t="s">
        <v>1179</v>
      </c>
      <c r="B314" s="241" t="s">
        <v>855</v>
      </c>
      <c r="C314" s="242">
        <v>571.82000000000005</v>
      </c>
      <c r="D314" s="242">
        <v>986.37</v>
      </c>
      <c r="E314" s="242">
        <v>1806.68</v>
      </c>
      <c r="F314" s="243"/>
      <c r="G314" s="243"/>
      <c r="H314" s="243"/>
      <c r="I314" s="243"/>
      <c r="J314" s="243"/>
      <c r="K314" s="243"/>
      <c r="L314" s="243"/>
      <c r="M314" s="243"/>
      <c r="N314" s="243"/>
      <c r="O314" s="242">
        <v>3364.87</v>
      </c>
    </row>
    <row r="315" spans="1:15" x14ac:dyDescent="0.25">
      <c r="A315" s="241" t="s">
        <v>1180</v>
      </c>
      <c r="B315" s="241" t="s">
        <v>923</v>
      </c>
      <c r="C315" s="243"/>
      <c r="D315" s="243"/>
      <c r="E315" s="242">
        <v>24.13</v>
      </c>
      <c r="F315" s="243"/>
      <c r="G315" s="243"/>
      <c r="H315" s="243"/>
      <c r="I315" s="243"/>
      <c r="J315" s="243"/>
      <c r="K315" s="243"/>
      <c r="L315" s="243"/>
      <c r="M315" s="243"/>
      <c r="N315" s="243"/>
      <c r="O315" s="242">
        <v>24.13</v>
      </c>
    </row>
    <row r="316" spans="1:15" x14ac:dyDescent="0.25">
      <c r="A316" s="241" t="s">
        <v>1181</v>
      </c>
      <c r="B316" s="241" t="s">
        <v>861</v>
      </c>
      <c r="C316" s="242">
        <v>32.46</v>
      </c>
      <c r="D316" s="242">
        <v>1145.8</v>
      </c>
      <c r="E316" s="242">
        <v>75.87</v>
      </c>
      <c r="F316" s="243"/>
      <c r="G316" s="243"/>
      <c r="H316" s="243"/>
      <c r="I316" s="243"/>
      <c r="J316" s="243"/>
      <c r="K316" s="243"/>
      <c r="L316" s="243"/>
      <c r="M316" s="243"/>
      <c r="N316" s="243"/>
      <c r="O316" s="242">
        <v>1254.1300000000001</v>
      </c>
    </row>
    <row r="317" spans="1:15" x14ac:dyDescent="0.25">
      <c r="A317" s="241" t="s">
        <v>1184</v>
      </c>
      <c r="B317" s="241" t="s">
        <v>867</v>
      </c>
      <c r="C317" s="242">
        <v>1079.8699999999999</v>
      </c>
      <c r="D317" s="242">
        <v>9.7899999999999991</v>
      </c>
      <c r="E317" s="242">
        <v>56.14</v>
      </c>
      <c r="F317" s="243"/>
      <c r="G317" s="243"/>
      <c r="H317" s="243"/>
      <c r="I317" s="243"/>
      <c r="J317" s="243"/>
      <c r="K317" s="243"/>
      <c r="L317" s="243"/>
      <c r="M317" s="243"/>
      <c r="N317" s="243"/>
      <c r="O317" s="242">
        <v>1145.8</v>
      </c>
    </row>
    <row r="318" spans="1:15" x14ac:dyDescent="0.25">
      <c r="A318" s="241" t="s">
        <v>1185</v>
      </c>
      <c r="B318" s="241" t="s">
        <v>591</v>
      </c>
      <c r="C318" s="242">
        <v>934.35</v>
      </c>
      <c r="D318" s="242">
        <v>2349.81</v>
      </c>
      <c r="E318" s="242">
        <v>1301.68</v>
      </c>
      <c r="F318" s="243"/>
      <c r="G318" s="243"/>
      <c r="H318" s="243"/>
      <c r="I318" s="243"/>
      <c r="J318" s="243"/>
      <c r="K318" s="243"/>
      <c r="L318" s="243"/>
      <c r="M318" s="243"/>
      <c r="N318" s="243"/>
      <c r="O318" s="242">
        <v>4585.84</v>
      </c>
    </row>
    <row r="319" spans="1:15" x14ac:dyDescent="0.25">
      <c r="A319" s="241" t="s">
        <v>1186</v>
      </c>
      <c r="B319" s="241" t="s">
        <v>1048</v>
      </c>
      <c r="C319" s="242">
        <v>3005.61</v>
      </c>
      <c r="D319" s="242">
        <v>3202.2</v>
      </c>
      <c r="E319" s="242">
        <v>2577.16</v>
      </c>
      <c r="F319" s="243"/>
      <c r="G319" s="243"/>
      <c r="H319" s="243"/>
      <c r="I319" s="243"/>
      <c r="J319" s="243"/>
      <c r="K319" s="243"/>
      <c r="L319" s="243"/>
      <c r="M319" s="243"/>
      <c r="N319" s="243"/>
      <c r="O319" s="242">
        <v>8784.9699999999993</v>
      </c>
    </row>
    <row r="320" spans="1:15" x14ac:dyDescent="0.25">
      <c r="A320" s="241" t="s">
        <v>1188</v>
      </c>
      <c r="B320" s="241" t="s">
        <v>1189</v>
      </c>
      <c r="C320" s="242">
        <v>2054.6999999999998</v>
      </c>
      <c r="D320" s="242">
        <v>1605.67</v>
      </c>
      <c r="E320" s="242">
        <v>1929.17</v>
      </c>
      <c r="F320" s="243"/>
      <c r="G320" s="243"/>
      <c r="H320" s="243"/>
      <c r="I320" s="243"/>
      <c r="J320" s="243"/>
      <c r="K320" s="243"/>
      <c r="L320" s="243"/>
      <c r="M320" s="243"/>
      <c r="N320" s="243"/>
      <c r="O320" s="242">
        <v>5589.54</v>
      </c>
    </row>
    <row r="321" spans="1:15" x14ac:dyDescent="0.25">
      <c r="A321" s="241" t="s">
        <v>1420</v>
      </c>
      <c r="B321" s="241" t="s">
        <v>1421</v>
      </c>
      <c r="C321" s="242">
        <v>153.16999999999999</v>
      </c>
      <c r="D321" s="242">
        <v>195.45</v>
      </c>
      <c r="E321" s="242">
        <v>202.79</v>
      </c>
      <c r="F321" s="243"/>
      <c r="G321" s="243"/>
      <c r="H321" s="243"/>
      <c r="I321" s="243"/>
      <c r="J321" s="243"/>
      <c r="K321" s="243"/>
      <c r="L321" s="243"/>
      <c r="M321" s="243"/>
      <c r="N321" s="243"/>
      <c r="O321" s="242">
        <v>551.41</v>
      </c>
    </row>
    <row r="322" spans="1:15" x14ac:dyDescent="0.25">
      <c r="A322" s="241" t="s">
        <v>1190</v>
      </c>
      <c r="B322" s="241" t="s">
        <v>1191</v>
      </c>
      <c r="C322" s="242">
        <v>852</v>
      </c>
      <c r="D322" s="242">
        <v>852</v>
      </c>
      <c r="E322" s="242">
        <v>852</v>
      </c>
      <c r="F322" s="243"/>
      <c r="G322" s="243"/>
      <c r="H322" s="243"/>
      <c r="I322" s="243"/>
      <c r="J322" s="243"/>
      <c r="K322" s="243"/>
      <c r="L322" s="243"/>
      <c r="M322" s="243"/>
      <c r="N322" s="243"/>
      <c r="O322" s="242">
        <v>2556</v>
      </c>
    </row>
    <row r="323" spans="1:15" x14ac:dyDescent="0.25">
      <c r="A323" s="241" t="s">
        <v>1395</v>
      </c>
      <c r="B323" s="241" t="s">
        <v>1396</v>
      </c>
      <c r="C323" s="242">
        <v>1828.1</v>
      </c>
      <c r="D323" s="242">
        <v>1845.96</v>
      </c>
      <c r="E323" s="242">
        <v>1847.62</v>
      </c>
      <c r="F323" s="243"/>
      <c r="G323" s="243"/>
      <c r="H323" s="243"/>
      <c r="I323" s="243"/>
      <c r="J323" s="243"/>
      <c r="K323" s="243"/>
      <c r="L323" s="243"/>
      <c r="M323" s="243"/>
      <c r="N323" s="243"/>
      <c r="O323" s="242">
        <v>5521.68</v>
      </c>
    </row>
    <row r="324" spans="1:15" x14ac:dyDescent="0.25">
      <c r="A324" s="241" t="s">
        <v>1422</v>
      </c>
      <c r="B324" s="241" t="s">
        <v>1417</v>
      </c>
      <c r="C324" s="242">
        <v>5440</v>
      </c>
      <c r="D324" s="242">
        <v>1988.73</v>
      </c>
      <c r="E324" s="242">
        <v>1113.52</v>
      </c>
      <c r="F324" s="243"/>
      <c r="G324" s="243"/>
      <c r="H324" s="243"/>
      <c r="I324" s="243"/>
      <c r="J324" s="243"/>
      <c r="K324" s="243"/>
      <c r="L324" s="243"/>
      <c r="M324" s="243"/>
      <c r="N324" s="243"/>
      <c r="O324" s="242">
        <v>8542.25</v>
      </c>
    </row>
    <row r="325" spans="1:15" x14ac:dyDescent="0.25">
      <c r="A325" s="241" t="s">
        <v>1481</v>
      </c>
      <c r="B325" s="241" t="s">
        <v>1478</v>
      </c>
      <c r="C325" s="243"/>
      <c r="D325" s="242">
        <v>14400</v>
      </c>
      <c r="E325" s="242">
        <v>1200</v>
      </c>
      <c r="F325" s="243"/>
      <c r="G325" s="243"/>
      <c r="H325" s="243"/>
      <c r="I325" s="243"/>
      <c r="J325" s="243"/>
      <c r="K325" s="243"/>
      <c r="L325" s="243"/>
      <c r="M325" s="243"/>
      <c r="N325" s="243"/>
      <c r="O325" s="242">
        <v>15600</v>
      </c>
    </row>
    <row r="326" spans="1:15" x14ac:dyDescent="0.25">
      <c r="A326" s="241" t="s">
        <v>1192</v>
      </c>
      <c r="B326" s="241" t="s">
        <v>871</v>
      </c>
      <c r="C326" s="242">
        <v>5494.05</v>
      </c>
      <c r="D326" s="242">
        <v>6290.7</v>
      </c>
      <c r="E326" s="242">
        <v>9348.26</v>
      </c>
      <c r="F326" s="243"/>
      <c r="G326" s="243"/>
      <c r="H326" s="243"/>
      <c r="I326" s="243"/>
      <c r="J326" s="243"/>
      <c r="K326" s="243"/>
      <c r="L326" s="243"/>
      <c r="M326" s="243"/>
      <c r="N326" s="243"/>
      <c r="O326" s="242">
        <v>21133.01</v>
      </c>
    </row>
    <row r="327" spans="1:15" x14ac:dyDescent="0.25">
      <c r="A327" s="241" t="s">
        <v>1193</v>
      </c>
      <c r="B327" s="241" t="s">
        <v>1194</v>
      </c>
      <c r="C327" s="242">
        <v>1473.86</v>
      </c>
      <c r="D327" s="242">
        <v>1476.3</v>
      </c>
      <c r="E327" s="242">
        <v>1477.25</v>
      </c>
      <c r="F327" s="243"/>
      <c r="G327" s="243"/>
      <c r="H327" s="243"/>
      <c r="I327" s="243"/>
      <c r="J327" s="243"/>
      <c r="K327" s="243"/>
      <c r="L327" s="243"/>
      <c r="M327" s="243"/>
      <c r="N327" s="243"/>
      <c r="O327" s="242">
        <v>4427.41</v>
      </c>
    </row>
    <row r="328" spans="1:15" x14ac:dyDescent="0.25">
      <c r="A328" s="241" t="s">
        <v>1423</v>
      </c>
      <c r="B328" s="241" t="s">
        <v>1424</v>
      </c>
      <c r="C328" s="243"/>
      <c r="D328" s="242">
        <v>425</v>
      </c>
      <c r="E328" s="242">
        <v>-413</v>
      </c>
      <c r="F328" s="243"/>
      <c r="G328" s="243"/>
      <c r="H328" s="243"/>
      <c r="I328" s="243"/>
      <c r="J328" s="243"/>
      <c r="K328" s="243"/>
      <c r="L328" s="243"/>
      <c r="M328" s="243"/>
      <c r="N328" s="243"/>
      <c r="O328" s="242">
        <v>12</v>
      </c>
    </row>
    <row r="329" spans="1:15" x14ac:dyDescent="0.25">
      <c r="A329" s="241" t="s">
        <v>1197</v>
      </c>
      <c r="B329" s="241" t="s">
        <v>1198</v>
      </c>
      <c r="C329" s="242">
        <v>819.07</v>
      </c>
      <c r="D329" s="242">
        <v>1976.2</v>
      </c>
      <c r="E329" s="242">
        <v>2887.69</v>
      </c>
      <c r="F329" s="243"/>
      <c r="G329" s="243"/>
      <c r="H329" s="243"/>
      <c r="I329" s="243"/>
      <c r="J329" s="243"/>
      <c r="K329" s="243"/>
      <c r="L329" s="243"/>
      <c r="M329" s="243"/>
      <c r="N329" s="243"/>
      <c r="O329" s="242">
        <v>5682.96</v>
      </c>
    </row>
    <row r="330" spans="1:15" x14ac:dyDescent="0.25">
      <c r="A330" s="241" t="s">
        <v>1199</v>
      </c>
      <c r="B330" s="241" t="s">
        <v>1200</v>
      </c>
      <c r="C330" s="242">
        <v>3990.9</v>
      </c>
      <c r="D330" s="242">
        <v>3990.89</v>
      </c>
      <c r="E330" s="242">
        <v>3990.9</v>
      </c>
      <c r="F330" s="243"/>
      <c r="G330" s="243"/>
      <c r="H330" s="243"/>
      <c r="I330" s="243"/>
      <c r="J330" s="243"/>
      <c r="K330" s="243"/>
      <c r="L330" s="243"/>
      <c r="M330" s="243"/>
      <c r="N330" s="243"/>
      <c r="O330" s="242">
        <v>11972.69</v>
      </c>
    </row>
    <row r="331" spans="1:15" x14ac:dyDescent="0.25">
      <c r="A331" s="241" t="s">
        <v>1201</v>
      </c>
      <c r="B331" s="241" t="s">
        <v>872</v>
      </c>
      <c r="C331" s="242">
        <v>362.95</v>
      </c>
      <c r="D331" s="242">
        <v>34.950000000000003</v>
      </c>
      <c r="E331" s="242">
        <v>34.950000000000003</v>
      </c>
      <c r="F331" s="243"/>
      <c r="G331" s="243"/>
      <c r="H331" s="243"/>
      <c r="I331" s="243"/>
      <c r="J331" s="243"/>
      <c r="K331" s="243"/>
      <c r="L331" s="243"/>
      <c r="M331" s="243"/>
      <c r="N331" s="243"/>
      <c r="O331" s="242">
        <v>432.85</v>
      </c>
    </row>
    <row r="332" spans="1:15" x14ac:dyDescent="0.25">
      <c r="A332" s="241" t="s">
        <v>1204</v>
      </c>
      <c r="B332" s="241" t="s">
        <v>873</v>
      </c>
      <c r="C332" s="242">
        <v>464.45</v>
      </c>
      <c r="D332" s="242">
        <v>1735.04</v>
      </c>
      <c r="E332" s="242">
        <v>36.950000000000003</v>
      </c>
      <c r="F332" s="243"/>
      <c r="G332" s="243"/>
      <c r="H332" s="243"/>
      <c r="I332" s="243"/>
      <c r="J332" s="243"/>
      <c r="K332" s="243"/>
      <c r="L332" s="243"/>
      <c r="M332" s="243"/>
      <c r="N332" s="243"/>
      <c r="O332" s="242">
        <v>2236.44</v>
      </c>
    </row>
    <row r="333" spans="1:15" x14ac:dyDescent="0.25">
      <c r="A333" s="241" t="s">
        <v>1207</v>
      </c>
      <c r="B333" s="241" t="s">
        <v>875</v>
      </c>
      <c r="C333" s="242">
        <v>18.98</v>
      </c>
      <c r="D333" s="242">
        <v>223.27</v>
      </c>
      <c r="E333" s="242">
        <v>137.04</v>
      </c>
      <c r="F333" s="243"/>
      <c r="G333" s="243"/>
      <c r="H333" s="243"/>
      <c r="I333" s="243"/>
      <c r="J333" s="243"/>
      <c r="K333" s="243"/>
      <c r="L333" s="243"/>
      <c r="M333" s="243"/>
      <c r="N333" s="243"/>
      <c r="O333" s="242">
        <v>379.29</v>
      </c>
    </row>
    <row r="334" spans="1:15" x14ac:dyDescent="0.25">
      <c r="A334" s="241" t="s">
        <v>1212</v>
      </c>
      <c r="B334" s="241" t="s">
        <v>1213</v>
      </c>
      <c r="C334" s="242">
        <v>-302.25</v>
      </c>
      <c r="D334" s="242">
        <v>450</v>
      </c>
      <c r="E334" s="242">
        <v>425.5</v>
      </c>
      <c r="F334" s="243"/>
      <c r="G334" s="243"/>
      <c r="H334" s="243"/>
      <c r="I334" s="243"/>
      <c r="J334" s="243"/>
      <c r="K334" s="243"/>
      <c r="L334" s="243"/>
      <c r="M334" s="243"/>
      <c r="N334" s="243"/>
      <c r="O334" s="242">
        <v>573.25</v>
      </c>
    </row>
    <row r="335" spans="1:15" x14ac:dyDescent="0.25">
      <c r="A335" s="241" t="s">
        <v>1214</v>
      </c>
      <c r="B335" s="241" t="s">
        <v>1215</v>
      </c>
      <c r="C335" s="242">
        <v>701.29</v>
      </c>
      <c r="D335" s="242">
        <v>224.99</v>
      </c>
      <c r="E335" s="242">
        <v>8.33</v>
      </c>
      <c r="F335" s="243"/>
      <c r="G335" s="243"/>
      <c r="H335" s="243"/>
      <c r="I335" s="243"/>
      <c r="J335" s="243"/>
      <c r="K335" s="243"/>
      <c r="L335" s="243"/>
      <c r="M335" s="243"/>
      <c r="N335" s="243"/>
      <c r="O335" s="242">
        <v>934.61</v>
      </c>
    </row>
    <row r="336" spans="1:15" x14ac:dyDescent="0.25">
      <c r="A336" s="241" t="s">
        <v>1216</v>
      </c>
      <c r="B336" s="241" t="s">
        <v>1137</v>
      </c>
      <c r="C336" s="242">
        <v>1082</v>
      </c>
      <c r="D336" s="242">
        <v>1837.33</v>
      </c>
      <c r="E336" s="242">
        <v>428.5</v>
      </c>
      <c r="F336" s="243"/>
      <c r="G336" s="243"/>
      <c r="H336" s="243"/>
      <c r="I336" s="243"/>
      <c r="J336" s="243"/>
      <c r="K336" s="243"/>
      <c r="L336" s="243"/>
      <c r="M336" s="243"/>
      <c r="N336" s="243"/>
      <c r="O336" s="242">
        <v>3347.83</v>
      </c>
    </row>
    <row r="337" spans="1:15" x14ac:dyDescent="0.25">
      <c r="A337" s="241" t="s">
        <v>1219</v>
      </c>
      <c r="B337" s="241" t="s">
        <v>878</v>
      </c>
      <c r="C337" s="243"/>
      <c r="D337" s="243"/>
      <c r="E337" s="242">
        <v>201</v>
      </c>
      <c r="F337" s="243"/>
      <c r="G337" s="243"/>
      <c r="H337" s="243"/>
      <c r="I337" s="243"/>
      <c r="J337" s="243"/>
      <c r="K337" s="243"/>
      <c r="L337" s="243"/>
      <c r="M337" s="243"/>
      <c r="N337" s="243"/>
      <c r="O337" s="242">
        <v>201</v>
      </c>
    </row>
    <row r="338" spans="1:15" x14ac:dyDescent="0.25">
      <c r="A338" s="241" t="s">
        <v>1220</v>
      </c>
      <c r="B338" s="241" t="s">
        <v>1221</v>
      </c>
      <c r="C338" s="242">
        <v>296.83999999999997</v>
      </c>
      <c r="D338" s="242">
        <v>31.3</v>
      </c>
      <c r="E338" s="242">
        <v>1.88</v>
      </c>
      <c r="F338" s="243"/>
      <c r="G338" s="243"/>
      <c r="H338" s="243"/>
      <c r="I338" s="243"/>
      <c r="J338" s="243"/>
      <c r="K338" s="243"/>
      <c r="L338" s="243"/>
      <c r="M338" s="243"/>
      <c r="N338" s="243"/>
      <c r="O338" s="242">
        <v>330.02</v>
      </c>
    </row>
    <row r="339" spans="1:15" x14ac:dyDescent="0.25">
      <c r="A339" s="241" t="s">
        <v>1222</v>
      </c>
      <c r="B339" s="241" t="s">
        <v>1223</v>
      </c>
      <c r="C339" s="242">
        <v>146.66999999999999</v>
      </c>
      <c r="D339" s="242">
        <v>649.01</v>
      </c>
      <c r="E339" s="242">
        <v>871</v>
      </c>
      <c r="F339" s="243"/>
      <c r="G339" s="243"/>
      <c r="H339" s="243"/>
      <c r="I339" s="243"/>
      <c r="J339" s="243"/>
      <c r="K339" s="243"/>
      <c r="L339" s="243"/>
      <c r="M339" s="243"/>
      <c r="N339" s="243"/>
      <c r="O339" s="242">
        <v>1666.68</v>
      </c>
    </row>
    <row r="340" spans="1:15" x14ac:dyDescent="0.25">
      <c r="A340" s="241" t="s">
        <v>1228</v>
      </c>
      <c r="B340" s="241" t="s">
        <v>883</v>
      </c>
      <c r="C340" s="243"/>
      <c r="D340" s="242">
        <v>32.950000000000003</v>
      </c>
      <c r="E340" s="242">
        <v>11.81</v>
      </c>
      <c r="F340" s="243"/>
      <c r="G340" s="243"/>
      <c r="H340" s="243"/>
      <c r="I340" s="243"/>
      <c r="J340" s="243"/>
      <c r="K340" s="243"/>
      <c r="L340" s="243"/>
      <c r="M340" s="243"/>
      <c r="N340" s="243"/>
      <c r="O340" s="242">
        <v>44.76</v>
      </c>
    </row>
    <row r="341" spans="1:15" x14ac:dyDescent="0.25">
      <c r="A341" s="241" t="s">
        <v>1229</v>
      </c>
      <c r="B341" s="241" t="s">
        <v>885</v>
      </c>
      <c r="C341" s="243"/>
      <c r="D341" s="242">
        <v>246.3</v>
      </c>
      <c r="E341" s="242">
        <v>103.76</v>
      </c>
      <c r="F341" s="243"/>
      <c r="G341" s="243"/>
      <c r="H341" s="243"/>
      <c r="I341" s="243"/>
      <c r="J341" s="243"/>
      <c r="K341" s="243"/>
      <c r="L341" s="243"/>
      <c r="M341" s="243"/>
      <c r="N341" s="243"/>
      <c r="O341" s="242">
        <v>350.06</v>
      </c>
    </row>
    <row r="342" spans="1:15" x14ac:dyDescent="0.25">
      <c r="A342" s="241" t="s">
        <v>1232</v>
      </c>
      <c r="B342" s="241" t="s">
        <v>887</v>
      </c>
      <c r="C342" s="243"/>
      <c r="D342" s="242">
        <v>50</v>
      </c>
      <c r="E342" s="243"/>
      <c r="F342" s="243"/>
      <c r="G342" s="243"/>
      <c r="H342" s="243"/>
      <c r="I342" s="243"/>
      <c r="J342" s="243"/>
      <c r="K342" s="243"/>
      <c r="L342" s="243"/>
      <c r="M342" s="243"/>
      <c r="N342" s="243"/>
      <c r="O342" s="242">
        <v>50</v>
      </c>
    </row>
    <row r="343" spans="1:15" x14ac:dyDescent="0.25">
      <c r="A343" s="241" t="s">
        <v>1233</v>
      </c>
      <c r="B343" s="241" t="s">
        <v>1234</v>
      </c>
      <c r="C343" s="242">
        <v>120</v>
      </c>
      <c r="D343" s="242">
        <v>120</v>
      </c>
      <c r="E343" s="243"/>
      <c r="F343" s="243"/>
      <c r="G343" s="243"/>
      <c r="H343" s="243"/>
      <c r="I343" s="243"/>
      <c r="J343" s="243"/>
      <c r="K343" s="243"/>
      <c r="L343" s="243"/>
      <c r="M343" s="243"/>
      <c r="N343" s="243"/>
      <c r="O343" s="242">
        <v>240</v>
      </c>
    </row>
    <row r="344" spans="1:15" x14ac:dyDescent="0.25">
      <c r="A344" s="241" t="s">
        <v>1236</v>
      </c>
      <c r="B344" s="241" t="s">
        <v>890</v>
      </c>
      <c r="C344" s="242">
        <v>464.42</v>
      </c>
      <c r="D344" s="242">
        <v>284.42</v>
      </c>
      <c r="E344" s="242">
        <v>454.42</v>
      </c>
      <c r="F344" s="243"/>
      <c r="G344" s="243"/>
      <c r="H344" s="243"/>
      <c r="I344" s="243"/>
      <c r="J344" s="243"/>
      <c r="K344" s="243"/>
      <c r="L344" s="243"/>
      <c r="M344" s="243"/>
      <c r="N344" s="243"/>
      <c r="O344" s="242">
        <v>1203.26</v>
      </c>
    </row>
    <row r="345" spans="1:15" x14ac:dyDescent="0.25">
      <c r="A345" s="241" t="s">
        <v>1237</v>
      </c>
      <c r="B345" s="241" t="s">
        <v>892</v>
      </c>
      <c r="C345" s="242">
        <v>625.62</v>
      </c>
      <c r="D345" s="242">
        <v>464.93</v>
      </c>
      <c r="E345" s="242">
        <v>205</v>
      </c>
      <c r="F345" s="243"/>
      <c r="G345" s="243"/>
      <c r="H345" s="243"/>
      <c r="I345" s="243"/>
      <c r="J345" s="243"/>
      <c r="K345" s="243"/>
      <c r="L345" s="243"/>
      <c r="M345" s="243"/>
      <c r="N345" s="243"/>
      <c r="O345" s="242">
        <v>1295.55</v>
      </c>
    </row>
    <row r="346" spans="1:15" x14ac:dyDescent="0.25">
      <c r="A346" s="241" t="s">
        <v>1238</v>
      </c>
      <c r="B346" s="241" t="s">
        <v>1239</v>
      </c>
      <c r="C346" s="242">
        <v>16751.97</v>
      </c>
      <c r="D346" s="242">
        <v>18968.27</v>
      </c>
      <c r="E346" s="242">
        <v>16751.97</v>
      </c>
      <c r="F346" s="243"/>
      <c r="G346" s="243"/>
      <c r="H346" s="243"/>
      <c r="I346" s="243"/>
      <c r="J346" s="243"/>
      <c r="K346" s="243"/>
      <c r="L346" s="243"/>
      <c r="M346" s="243"/>
      <c r="N346" s="243"/>
      <c r="O346" s="242">
        <v>52472.21</v>
      </c>
    </row>
    <row r="347" spans="1:15" x14ac:dyDescent="0.25">
      <c r="A347" s="241" t="s">
        <v>1241</v>
      </c>
      <c r="B347" s="241" t="s">
        <v>1242</v>
      </c>
      <c r="C347" s="242">
        <v>2479.9499999999998</v>
      </c>
      <c r="D347" s="242">
        <v>2322.9899999999998</v>
      </c>
      <c r="E347" s="242">
        <v>2322.9899999999998</v>
      </c>
      <c r="F347" s="243"/>
      <c r="G347" s="243"/>
      <c r="H347" s="243"/>
      <c r="I347" s="243"/>
      <c r="J347" s="243"/>
      <c r="K347" s="243"/>
      <c r="L347" s="243"/>
      <c r="M347" s="243"/>
      <c r="N347" s="243"/>
      <c r="O347" s="242">
        <v>7125.93</v>
      </c>
    </row>
    <row r="348" spans="1:15" x14ac:dyDescent="0.25">
      <c r="A348" s="241" t="s">
        <v>1243</v>
      </c>
      <c r="B348" s="241" t="s">
        <v>1380</v>
      </c>
      <c r="C348" s="242">
        <v>15265.96</v>
      </c>
      <c r="D348" s="242">
        <v>23387.360000000001</v>
      </c>
      <c r="E348" s="242">
        <v>318.39999999999998</v>
      </c>
      <c r="F348" s="243"/>
      <c r="G348" s="243"/>
      <c r="H348" s="243"/>
      <c r="I348" s="243"/>
      <c r="J348" s="243"/>
      <c r="K348" s="243"/>
      <c r="L348" s="243"/>
      <c r="M348" s="243"/>
      <c r="N348" s="243"/>
      <c r="O348" s="242">
        <v>38971.72</v>
      </c>
    </row>
    <row r="349" spans="1:15" x14ac:dyDescent="0.25">
      <c r="A349" s="241" t="s">
        <v>1387</v>
      </c>
      <c r="B349" s="241" t="s">
        <v>1388</v>
      </c>
      <c r="C349" s="242">
        <v>431.2</v>
      </c>
      <c r="D349" s="242">
        <v>2648.8</v>
      </c>
      <c r="E349" s="242">
        <v>4681.6000000000004</v>
      </c>
      <c r="F349" s="243"/>
      <c r="G349" s="243"/>
      <c r="H349" s="243"/>
      <c r="I349" s="243"/>
      <c r="J349" s="243"/>
      <c r="K349" s="243"/>
      <c r="L349" s="243"/>
      <c r="M349" s="243"/>
      <c r="N349" s="243"/>
      <c r="O349" s="242">
        <v>7761.6</v>
      </c>
    </row>
    <row r="350" spans="1:15" x14ac:dyDescent="0.25">
      <c r="A350" s="241" t="s">
        <v>1244</v>
      </c>
      <c r="B350" s="241" t="s">
        <v>1074</v>
      </c>
      <c r="C350" s="242">
        <v>144.88999999999999</v>
      </c>
      <c r="D350" s="242">
        <v>144.88999999999999</v>
      </c>
      <c r="E350" s="243"/>
      <c r="F350" s="243"/>
      <c r="G350" s="243"/>
      <c r="H350" s="243"/>
      <c r="I350" s="243"/>
      <c r="J350" s="243"/>
      <c r="K350" s="243"/>
      <c r="L350" s="243"/>
      <c r="M350" s="243"/>
      <c r="N350" s="243"/>
      <c r="O350" s="242">
        <v>289.77999999999997</v>
      </c>
    </row>
    <row r="351" spans="1:15" x14ac:dyDescent="0.25">
      <c r="A351" s="241" t="s">
        <v>1247</v>
      </c>
      <c r="B351" s="241" t="s">
        <v>1248</v>
      </c>
      <c r="C351" s="242">
        <v>833.04</v>
      </c>
      <c r="D351" s="242">
        <v>880</v>
      </c>
      <c r="E351" s="243"/>
      <c r="F351" s="243"/>
      <c r="G351" s="243"/>
      <c r="H351" s="243"/>
      <c r="I351" s="243"/>
      <c r="J351" s="243"/>
      <c r="K351" s="243"/>
      <c r="L351" s="243"/>
      <c r="M351" s="243"/>
      <c r="N351" s="243"/>
      <c r="O351" s="242">
        <v>1713.04</v>
      </c>
    </row>
    <row r="352" spans="1:15" x14ac:dyDescent="0.25">
      <c r="A352" s="241" t="s">
        <v>1249</v>
      </c>
      <c r="B352" s="241" t="s">
        <v>1250</v>
      </c>
      <c r="C352" s="242">
        <v>1197.1199999999999</v>
      </c>
      <c r="D352" s="242">
        <v>1084.51</v>
      </c>
      <c r="E352" s="242">
        <v>23.13</v>
      </c>
      <c r="F352" s="243"/>
      <c r="G352" s="243"/>
      <c r="H352" s="243"/>
      <c r="I352" s="243"/>
      <c r="J352" s="243"/>
      <c r="K352" s="243"/>
      <c r="L352" s="243"/>
      <c r="M352" s="243"/>
      <c r="N352" s="243"/>
      <c r="O352" s="242">
        <v>2304.7600000000002</v>
      </c>
    </row>
    <row r="353" spans="1:15" x14ac:dyDescent="0.25">
      <c r="A353" s="241" t="s">
        <v>1397</v>
      </c>
      <c r="B353" s="241" t="s">
        <v>1398</v>
      </c>
      <c r="C353" s="244">
        <v>232.05</v>
      </c>
      <c r="D353" s="244">
        <v>232.05</v>
      </c>
      <c r="E353" s="244">
        <v>232.05</v>
      </c>
      <c r="F353" s="246"/>
      <c r="G353" s="246"/>
      <c r="H353" s="246"/>
      <c r="I353" s="246"/>
      <c r="J353" s="246"/>
      <c r="K353" s="246"/>
      <c r="L353" s="246"/>
      <c r="M353" s="246"/>
      <c r="N353" s="246"/>
      <c r="O353" s="244">
        <v>696.15</v>
      </c>
    </row>
    <row r="354" spans="1:15" x14ac:dyDescent="0.25">
      <c r="A354" s="239"/>
      <c r="B354" s="239" t="s">
        <v>1253</v>
      </c>
      <c r="C354" s="245">
        <v>87321.19</v>
      </c>
      <c r="D354" s="245">
        <v>119418.42</v>
      </c>
      <c r="E354" s="245">
        <v>71963.320000000007</v>
      </c>
      <c r="F354" s="245">
        <v>0</v>
      </c>
      <c r="G354" s="245">
        <v>0</v>
      </c>
      <c r="H354" s="245">
        <v>0</v>
      </c>
      <c r="I354" s="245">
        <v>0</v>
      </c>
      <c r="J354" s="245">
        <v>0</v>
      </c>
      <c r="K354" s="245">
        <v>0</v>
      </c>
      <c r="L354" s="245">
        <v>0</v>
      </c>
      <c r="M354" s="245">
        <v>0</v>
      </c>
      <c r="N354" s="245">
        <v>0</v>
      </c>
      <c r="O354" s="245">
        <v>278702.93</v>
      </c>
    </row>
    <row r="355" spans="1:15" x14ac:dyDescent="0.25">
      <c r="A355" s="235"/>
      <c r="B355" s="235"/>
      <c r="C355" s="236"/>
      <c r="D355" s="236"/>
      <c r="E355" s="236"/>
      <c r="F355" s="236"/>
      <c r="G355" s="236"/>
      <c r="H355" s="236"/>
      <c r="I355" s="236"/>
      <c r="J355" s="236"/>
      <c r="K355" s="236"/>
      <c r="L355" s="236"/>
      <c r="M355" s="236"/>
      <c r="N355" s="236"/>
      <c r="O355" s="236"/>
    </row>
    <row r="356" spans="1:15" x14ac:dyDescent="0.25">
      <c r="A356" s="239"/>
      <c r="B356" s="239" t="s">
        <v>1254</v>
      </c>
      <c r="C356" s="247"/>
      <c r="D356" s="247"/>
      <c r="E356" s="247"/>
      <c r="F356" s="247"/>
      <c r="G356" s="247"/>
      <c r="H356" s="247"/>
      <c r="I356" s="247"/>
      <c r="J356" s="247"/>
      <c r="K356" s="247"/>
      <c r="L356" s="247"/>
      <c r="M356" s="247"/>
      <c r="N356" s="247"/>
      <c r="O356" s="247"/>
    </row>
    <row r="357" spans="1:15" x14ac:dyDescent="0.25">
      <c r="A357" s="235"/>
      <c r="B357" s="235"/>
      <c r="C357" s="236"/>
      <c r="D357" s="236"/>
      <c r="E357" s="236"/>
      <c r="F357" s="236"/>
      <c r="G357" s="236"/>
      <c r="H357" s="236"/>
      <c r="I357" s="236"/>
      <c r="J357" s="236"/>
      <c r="K357" s="236"/>
      <c r="L357" s="236"/>
      <c r="M357" s="236"/>
      <c r="N357" s="236"/>
      <c r="O357" s="236"/>
    </row>
    <row r="358" spans="1:15" x14ac:dyDescent="0.25">
      <c r="A358" s="239"/>
      <c r="B358" s="239" t="s">
        <v>1255</v>
      </c>
      <c r="C358" s="247"/>
      <c r="D358" s="247"/>
      <c r="E358" s="247"/>
      <c r="F358" s="247"/>
      <c r="G358" s="247"/>
      <c r="H358" s="247"/>
      <c r="I358" s="247"/>
      <c r="J358" s="247"/>
      <c r="K358" s="247"/>
      <c r="L358" s="247"/>
      <c r="M358" s="247"/>
      <c r="N358" s="247"/>
      <c r="O358" s="247"/>
    </row>
    <row r="359" spans="1:15" x14ac:dyDescent="0.25">
      <c r="A359" s="235"/>
      <c r="B359" s="235"/>
      <c r="C359" s="236"/>
      <c r="D359" s="236"/>
      <c r="E359" s="236"/>
      <c r="F359" s="236"/>
      <c r="G359" s="236"/>
      <c r="H359" s="236"/>
      <c r="I359" s="236"/>
      <c r="J359" s="236"/>
      <c r="K359" s="236"/>
      <c r="L359" s="236"/>
      <c r="M359" s="236"/>
      <c r="N359" s="236"/>
      <c r="O359" s="236"/>
    </row>
    <row r="360" spans="1:15" x14ac:dyDescent="0.25">
      <c r="A360" s="239"/>
      <c r="B360" s="239" t="s">
        <v>1256</v>
      </c>
      <c r="C360" s="247"/>
      <c r="D360" s="247"/>
      <c r="E360" s="247"/>
      <c r="F360" s="247"/>
      <c r="G360" s="247"/>
      <c r="H360" s="247"/>
      <c r="I360" s="247"/>
      <c r="J360" s="247"/>
      <c r="K360" s="247"/>
      <c r="L360" s="247"/>
      <c r="M360" s="247"/>
      <c r="N360" s="247"/>
      <c r="O360" s="247"/>
    </row>
    <row r="361" spans="1:15" x14ac:dyDescent="0.25">
      <c r="A361" s="235"/>
      <c r="B361" s="235"/>
      <c r="C361" s="236"/>
      <c r="D361" s="236"/>
      <c r="E361" s="236"/>
      <c r="F361" s="236"/>
      <c r="G361" s="236"/>
      <c r="H361" s="236"/>
      <c r="I361" s="236"/>
      <c r="J361" s="236"/>
      <c r="K361" s="236"/>
      <c r="L361" s="236"/>
      <c r="M361" s="236"/>
      <c r="N361" s="236"/>
      <c r="O361" s="236"/>
    </row>
    <row r="362" spans="1:15" x14ac:dyDescent="0.25">
      <c r="A362" s="239"/>
      <c r="B362" s="239" t="s">
        <v>1257</v>
      </c>
      <c r="C362" s="247"/>
      <c r="D362" s="247"/>
      <c r="E362" s="247"/>
      <c r="F362" s="247"/>
      <c r="G362" s="247"/>
      <c r="H362" s="247"/>
      <c r="I362" s="247"/>
      <c r="J362" s="247"/>
      <c r="K362" s="247"/>
      <c r="L362" s="247"/>
      <c r="M362" s="247"/>
      <c r="N362" s="247"/>
      <c r="O362" s="247"/>
    </row>
    <row r="363" spans="1:15" x14ac:dyDescent="0.25">
      <c r="A363" s="235"/>
      <c r="B363" s="235"/>
      <c r="C363" s="236"/>
      <c r="D363" s="236"/>
      <c r="E363" s="236"/>
      <c r="F363" s="236"/>
      <c r="G363" s="236"/>
      <c r="H363" s="236"/>
      <c r="I363" s="236"/>
      <c r="J363" s="236"/>
      <c r="K363" s="236"/>
      <c r="L363" s="236"/>
      <c r="M363" s="236"/>
      <c r="N363" s="236"/>
      <c r="O363" s="236"/>
    </row>
    <row r="364" spans="1:15" x14ac:dyDescent="0.25">
      <c r="A364" s="239"/>
      <c r="B364" s="239" t="s">
        <v>1258</v>
      </c>
      <c r="C364" s="247"/>
      <c r="D364" s="247"/>
      <c r="E364" s="247"/>
      <c r="F364" s="247"/>
      <c r="G364" s="247"/>
      <c r="H364" s="247"/>
      <c r="I364" s="247"/>
      <c r="J364" s="247"/>
      <c r="K364" s="247"/>
      <c r="L364" s="247"/>
      <c r="M364" s="247"/>
      <c r="N364" s="247"/>
      <c r="O364" s="247"/>
    </row>
    <row r="365" spans="1:15" x14ac:dyDescent="0.25">
      <c r="A365" s="235"/>
      <c r="B365" s="235"/>
      <c r="C365" s="236"/>
      <c r="D365" s="236"/>
      <c r="E365" s="236"/>
      <c r="F365" s="236"/>
      <c r="G365" s="236"/>
      <c r="H365" s="236"/>
      <c r="I365" s="236"/>
      <c r="J365" s="236"/>
      <c r="K365" s="236"/>
      <c r="L365" s="236"/>
      <c r="M365" s="236"/>
      <c r="N365" s="236"/>
      <c r="O365" s="236"/>
    </row>
    <row r="366" spans="1:15" x14ac:dyDescent="0.25">
      <c r="A366" s="239"/>
      <c r="B366" s="239" t="s">
        <v>1259</v>
      </c>
      <c r="C366" s="247"/>
      <c r="D366" s="247"/>
      <c r="E366" s="247"/>
      <c r="F366" s="247"/>
      <c r="G366" s="247"/>
      <c r="H366" s="247"/>
      <c r="I366" s="247"/>
      <c r="J366" s="247"/>
      <c r="K366" s="247"/>
      <c r="L366" s="247"/>
      <c r="M366" s="247"/>
      <c r="N366" s="247"/>
      <c r="O366" s="247"/>
    </row>
    <row r="367" spans="1:15" x14ac:dyDescent="0.25">
      <c r="A367" s="235"/>
      <c r="B367" s="235"/>
      <c r="C367" s="236"/>
      <c r="D367" s="236"/>
      <c r="E367" s="236"/>
      <c r="F367" s="236"/>
      <c r="G367" s="236"/>
      <c r="H367" s="236"/>
      <c r="I367" s="236"/>
      <c r="J367" s="236"/>
      <c r="K367" s="236"/>
      <c r="L367" s="236"/>
      <c r="M367" s="236"/>
      <c r="N367" s="236"/>
      <c r="O367" s="236"/>
    </row>
    <row r="368" spans="1:15" x14ac:dyDescent="0.25">
      <c r="A368" s="239"/>
      <c r="B368" s="239" t="s">
        <v>1260</v>
      </c>
      <c r="C368" s="247"/>
      <c r="D368" s="247"/>
      <c r="E368" s="247"/>
      <c r="F368" s="247"/>
      <c r="G368" s="247"/>
      <c r="H368" s="247"/>
      <c r="I368" s="247"/>
      <c r="J368" s="247"/>
      <c r="K368" s="247"/>
      <c r="L368" s="247"/>
      <c r="M368" s="247"/>
      <c r="N368" s="247"/>
      <c r="O368" s="247"/>
    </row>
    <row r="369" spans="1:15" x14ac:dyDescent="0.25">
      <c r="A369" s="235"/>
      <c r="B369" s="235"/>
      <c r="C369" s="236"/>
      <c r="D369" s="236"/>
      <c r="E369" s="236"/>
      <c r="F369" s="236"/>
      <c r="G369" s="236"/>
      <c r="H369" s="236"/>
      <c r="I369" s="236"/>
      <c r="J369" s="236"/>
      <c r="K369" s="236"/>
      <c r="L369" s="236"/>
      <c r="M369" s="236"/>
      <c r="N369" s="236"/>
      <c r="O369" s="236"/>
    </row>
    <row r="370" spans="1:15" x14ac:dyDescent="0.25">
      <c r="A370" s="239"/>
      <c r="B370" s="239" t="s">
        <v>1261</v>
      </c>
      <c r="C370" s="247"/>
      <c r="D370" s="247"/>
      <c r="E370" s="247"/>
      <c r="F370" s="247"/>
      <c r="G370" s="247"/>
      <c r="H370" s="247"/>
      <c r="I370" s="247"/>
      <c r="J370" s="247"/>
      <c r="K370" s="247"/>
      <c r="L370" s="247"/>
      <c r="M370" s="247"/>
      <c r="N370" s="247"/>
      <c r="O370" s="247"/>
    </row>
    <row r="371" spans="1:15" x14ac:dyDescent="0.25">
      <c r="A371" s="235"/>
      <c r="B371" s="235"/>
      <c r="C371" s="236"/>
      <c r="D371" s="236"/>
      <c r="E371" s="236"/>
      <c r="F371" s="236"/>
      <c r="G371" s="236"/>
      <c r="H371" s="236"/>
      <c r="I371" s="236"/>
      <c r="J371" s="236"/>
      <c r="K371" s="236"/>
      <c r="L371" s="236"/>
      <c r="M371" s="236"/>
      <c r="N371" s="236"/>
      <c r="O371" s="236"/>
    </row>
    <row r="372" spans="1:15" x14ac:dyDescent="0.25">
      <c r="A372" s="239"/>
      <c r="B372" s="239" t="s">
        <v>1262</v>
      </c>
      <c r="C372" s="247"/>
      <c r="D372" s="247"/>
      <c r="E372" s="247"/>
      <c r="F372" s="247"/>
      <c r="G372" s="247"/>
      <c r="H372" s="247"/>
      <c r="I372" s="247"/>
      <c r="J372" s="247"/>
      <c r="K372" s="247"/>
      <c r="L372" s="247"/>
      <c r="M372" s="247"/>
      <c r="N372" s="247"/>
      <c r="O372" s="247"/>
    </row>
    <row r="373" spans="1:15" x14ac:dyDescent="0.25">
      <c r="A373" s="235"/>
      <c r="B373" s="235"/>
      <c r="C373" s="236"/>
      <c r="D373" s="236"/>
      <c r="E373" s="236"/>
      <c r="F373" s="236"/>
      <c r="G373" s="236"/>
      <c r="H373" s="236"/>
      <c r="I373" s="236"/>
      <c r="J373" s="236"/>
      <c r="K373" s="236"/>
      <c r="L373" s="236"/>
      <c r="M373" s="236"/>
      <c r="N373" s="236"/>
      <c r="O373" s="236"/>
    </row>
    <row r="374" spans="1:15" x14ac:dyDescent="0.25">
      <c r="A374" s="239"/>
      <c r="B374" s="239" t="s">
        <v>1263</v>
      </c>
      <c r="C374" s="247"/>
      <c r="D374" s="247"/>
      <c r="E374" s="247"/>
      <c r="F374" s="247"/>
      <c r="G374" s="247"/>
      <c r="H374" s="247"/>
      <c r="I374" s="247"/>
      <c r="J374" s="247"/>
      <c r="K374" s="247"/>
      <c r="L374" s="247"/>
      <c r="M374" s="247"/>
      <c r="N374" s="247"/>
      <c r="O374" s="247"/>
    </row>
    <row r="375" spans="1:15" x14ac:dyDescent="0.25">
      <c r="A375" s="235"/>
      <c r="B375" s="235"/>
      <c r="C375" s="236"/>
      <c r="D375" s="236"/>
      <c r="E375" s="236"/>
      <c r="F375" s="236"/>
      <c r="G375" s="236"/>
      <c r="H375" s="236"/>
      <c r="I375" s="236"/>
      <c r="J375" s="236"/>
      <c r="K375" s="236"/>
      <c r="L375" s="236"/>
      <c r="M375" s="236"/>
      <c r="N375" s="236"/>
      <c r="O375" s="236"/>
    </row>
    <row r="376" spans="1:15" x14ac:dyDescent="0.25">
      <c r="A376" s="239"/>
      <c r="B376" s="239" t="s">
        <v>1264</v>
      </c>
      <c r="C376" s="247"/>
      <c r="D376" s="247"/>
      <c r="E376" s="247"/>
      <c r="F376" s="247"/>
      <c r="G376" s="247"/>
      <c r="H376" s="247"/>
      <c r="I376" s="247"/>
      <c r="J376" s="247"/>
      <c r="K376" s="247"/>
      <c r="L376" s="247"/>
      <c r="M376" s="247"/>
      <c r="N376" s="247"/>
      <c r="O376" s="247"/>
    </row>
    <row r="377" spans="1:15" x14ac:dyDescent="0.25">
      <c r="A377" s="235"/>
      <c r="B377" s="235"/>
      <c r="C377" s="236"/>
      <c r="D377" s="236"/>
      <c r="E377" s="236"/>
      <c r="F377" s="236"/>
      <c r="G377" s="236"/>
      <c r="H377" s="236"/>
      <c r="I377" s="236"/>
      <c r="J377" s="236"/>
      <c r="K377" s="236"/>
      <c r="L377" s="236"/>
      <c r="M377" s="236"/>
      <c r="N377" s="236"/>
      <c r="O377" s="236"/>
    </row>
    <row r="378" spans="1:15" x14ac:dyDescent="0.25">
      <c r="A378" s="239"/>
      <c r="B378" s="239" t="s">
        <v>1265</v>
      </c>
      <c r="C378" s="247"/>
      <c r="D378" s="247"/>
      <c r="E378" s="247"/>
      <c r="F378" s="247"/>
      <c r="G378" s="247"/>
      <c r="H378" s="247"/>
      <c r="I378" s="247"/>
      <c r="J378" s="247"/>
      <c r="K378" s="247"/>
      <c r="L378" s="247"/>
      <c r="M378" s="247"/>
      <c r="N378" s="247"/>
      <c r="O378" s="247"/>
    </row>
    <row r="379" spans="1:15" x14ac:dyDescent="0.25">
      <c r="A379" s="235"/>
      <c r="B379" s="235"/>
      <c r="C379" s="236"/>
      <c r="D379" s="236"/>
      <c r="E379" s="236"/>
      <c r="F379" s="236"/>
      <c r="G379" s="236"/>
      <c r="H379" s="236"/>
      <c r="I379" s="236"/>
      <c r="J379" s="236"/>
      <c r="K379" s="236"/>
      <c r="L379" s="236"/>
      <c r="M379" s="236"/>
      <c r="N379" s="236"/>
      <c r="O379" s="236"/>
    </row>
    <row r="380" spans="1:15" x14ac:dyDescent="0.25">
      <c r="A380" s="239"/>
      <c r="B380" s="239" t="s">
        <v>1266</v>
      </c>
      <c r="C380" s="247"/>
      <c r="D380" s="247"/>
      <c r="E380" s="247"/>
      <c r="F380" s="247"/>
      <c r="G380" s="247"/>
      <c r="H380" s="247"/>
      <c r="I380" s="247"/>
      <c r="J380" s="247"/>
      <c r="K380" s="247"/>
      <c r="L380" s="247"/>
      <c r="M380" s="247"/>
      <c r="N380" s="247"/>
      <c r="O380" s="247"/>
    </row>
    <row r="381" spans="1:15" x14ac:dyDescent="0.25">
      <c r="A381" s="239"/>
      <c r="B381" s="239"/>
      <c r="C381" s="240"/>
      <c r="D381" s="240"/>
      <c r="E381" s="240"/>
      <c r="F381" s="240"/>
      <c r="G381" s="240"/>
      <c r="H381" s="240"/>
      <c r="I381" s="240"/>
      <c r="J381" s="240"/>
      <c r="K381" s="240"/>
      <c r="L381" s="240"/>
      <c r="M381" s="240"/>
      <c r="N381" s="240"/>
      <c r="O381" s="240"/>
    </row>
    <row r="382" spans="1:15" x14ac:dyDescent="0.25">
      <c r="A382" s="239"/>
      <c r="B382" s="239" t="s">
        <v>1267</v>
      </c>
      <c r="C382" s="247"/>
      <c r="D382" s="247"/>
      <c r="E382" s="247"/>
      <c r="F382" s="247"/>
      <c r="G382" s="247"/>
      <c r="H382" s="247"/>
      <c r="I382" s="247"/>
      <c r="J382" s="247"/>
      <c r="K382" s="247"/>
      <c r="L382" s="247"/>
      <c r="M382" s="247"/>
      <c r="N382" s="247"/>
      <c r="O382" s="247"/>
    </row>
    <row r="383" spans="1:15" x14ac:dyDescent="0.25">
      <c r="A383" s="235"/>
      <c r="B383" s="235"/>
      <c r="C383" s="236"/>
      <c r="D383" s="236"/>
      <c r="E383" s="236"/>
      <c r="F383" s="236"/>
      <c r="G383" s="236"/>
      <c r="H383" s="236"/>
      <c r="I383" s="236"/>
      <c r="J383" s="236"/>
      <c r="K383" s="236"/>
      <c r="L383" s="236"/>
      <c r="M383" s="236"/>
      <c r="N383" s="236"/>
      <c r="O383" s="236"/>
    </row>
    <row r="384" spans="1:15" x14ac:dyDescent="0.25">
      <c r="A384" s="239"/>
      <c r="B384" s="239" t="s">
        <v>1268</v>
      </c>
      <c r="C384" s="247"/>
      <c r="D384" s="247"/>
      <c r="E384" s="247"/>
      <c r="F384" s="247"/>
      <c r="G384" s="247"/>
      <c r="H384" s="247"/>
      <c r="I384" s="247"/>
      <c r="J384" s="247"/>
      <c r="K384" s="247"/>
      <c r="L384" s="247"/>
      <c r="M384" s="247"/>
      <c r="N384" s="247"/>
      <c r="O384" s="247"/>
    </row>
    <row r="385" spans="1:15" x14ac:dyDescent="0.25">
      <c r="A385" s="235"/>
      <c r="B385" s="235"/>
      <c r="C385" s="236"/>
      <c r="D385" s="236"/>
      <c r="E385" s="236"/>
      <c r="F385" s="236"/>
      <c r="G385" s="236"/>
      <c r="H385" s="236"/>
      <c r="I385" s="236"/>
      <c r="J385" s="236"/>
      <c r="K385" s="236"/>
      <c r="L385" s="236"/>
      <c r="M385" s="236"/>
      <c r="N385" s="236"/>
      <c r="O385" s="236"/>
    </row>
    <row r="386" spans="1:15" x14ac:dyDescent="0.25">
      <c r="A386" s="239"/>
      <c r="B386" s="239" t="s">
        <v>1269</v>
      </c>
      <c r="C386" s="247"/>
      <c r="D386" s="247"/>
      <c r="E386" s="247"/>
      <c r="F386" s="247"/>
      <c r="G386" s="247"/>
      <c r="H386" s="247"/>
      <c r="I386" s="247"/>
      <c r="J386" s="247"/>
      <c r="K386" s="247"/>
      <c r="L386" s="247"/>
      <c r="M386" s="247"/>
      <c r="N386" s="247"/>
      <c r="O386" s="247"/>
    </row>
    <row r="387" spans="1:15" x14ac:dyDescent="0.25">
      <c r="A387" s="235"/>
      <c r="B387" s="235"/>
      <c r="C387" s="236"/>
      <c r="D387" s="236"/>
      <c r="E387" s="236"/>
      <c r="F387" s="236"/>
      <c r="G387" s="236"/>
      <c r="H387" s="236"/>
      <c r="I387" s="236"/>
      <c r="J387" s="236"/>
      <c r="K387" s="236"/>
      <c r="L387" s="236"/>
      <c r="M387" s="236"/>
      <c r="N387" s="236"/>
      <c r="O387" s="236"/>
    </row>
    <row r="388" spans="1:15" x14ac:dyDescent="0.25">
      <c r="A388" s="239"/>
      <c r="B388" s="239" t="s">
        <v>1270</v>
      </c>
      <c r="C388" s="247"/>
      <c r="D388" s="247"/>
      <c r="E388" s="247"/>
      <c r="F388" s="247"/>
      <c r="G388" s="247"/>
      <c r="H388" s="247"/>
      <c r="I388" s="247"/>
      <c r="J388" s="247"/>
      <c r="K388" s="247"/>
      <c r="L388" s="247"/>
      <c r="M388" s="247"/>
      <c r="N388" s="247"/>
      <c r="O388" s="247"/>
    </row>
    <row r="389" spans="1:15" x14ac:dyDescent="0.25">
      <c r="A389" s="235"/>
      <c r="B389" s="235"/>
      <c r="C389" s="236"/>
      <c r="D389" s="236"/>
      <c r="E389" s="236"/>
      <c r="F389" s="236"/>
      <c r="G389" s="236"/>
      <c r="H389" s="236"/>
      <c r="I389" s="236"/>
      <c r="J389" s="236"/>
      <c r="K389" s="236"/>
      <c r="L389" s="236"/>
      <c r="M389" s="236"/>
      <c r="N389" s="236"/>
      <c r="O389" s="236"/>
    </row>
    <row r="390" spans="1:15" x14ac:dyDescent="0.25">
      <c r="A390" s="239"/>
      <c r="B390" s="239" t="s">
        <v>1271</v>
      </c>
      <c r="C390" s="247"/>
      <c r="D390" s="247"/>
      <c r="E390" s="247"/>
      <c r="F390" s="247"/>
      <c r="G390" s="247"/>
      <c r="H390" s="247"/>
      <c r="I390" s="247"/>
      <c r="J390" s="247"/>
      <c r="K390" s="247"/>
      <c r="L390" s="247"/>
      <c r="M390" s="247"/>
      <c r="N390" s="247"/>
      <c r="O390" s="247"/>
    </row>
    <row r="391" spans="1:15" x14ac:dyDescent="0.25">
      <c r="A391" s="235"/>
      <c r="B391" s="235"/>
      <c r="C391" s="236"/>
      <c r="D391" s="236"/>
      <c r="E391" s="236"/>
      <c r="F391" s="236"/>
      <c r="G391" s="236"/>
      <c r="H391" s="236"/>
      <c r="I391" s="236"/>
      <c r="J391" s="236"/>
      <c r="K391" s="236"/>
      <c r="L391" s="236"/>
      <c r="M391" s="236"/>
      <c r="N391" s="236"/>
      <c r="O391" s="236"/>
    </row>
    <row r="392" spans="1:15" x14ac:dyDescent="0.25">
      <c r="A392" s="239"/>
      <c r="B392" s="239" t="s">
        <v>1272</v>
      </c>
      <c r="C392" s="247"/>
      <c r="D392" s="247"/>
      <c r="E392" s="247"/>
      <c r="F392" s="247"/>
      <c r="G392" s="247"/>
      <c r="H392" s="247"/>
      <c r="I392" s="247"/>
      <c r="J392" s="247"/>
      <c r="K392" s="247"/>
      <c r="L392" s="247"/>
      <c r="M392" s="247"/>
      <c r="N392" s="247"/>
      <c r="O392" s="247"/>
    </row>
    <row r="393" spans="1:15" x14ac:dyDescent="0.25">
      <c r="A393" s="235"/>
      <c r="B393" s="235"/>
      <c r="C393" s="236"/>
      <c r="D393" s="236"/>
      <c r="E393" s="236"/>
      <c r="F393" s="236"/>
      <c r="G393" s="236"/>
      <c r="H393" s="236"/>
      <c r="I393" s="236"/>
      <c r="J393" s="236"/>
      <c r="K393" s="236"/>
      <c r="L393" s="236"/>
      <c r="M393" s="236"/>
      <c r="N393" s="236"/>
      <c r="O393" s="236"/>
    </row>
    <row r="394" spans="1:15" x14ac:dyDescent="0.25">
      <c r="A394" s="239"/>
      <c r="B394" s="239" t="s">
        <v>1273</v>
      </c>
      <c r="C394" s="247"/>
      <c r="D394" s="247"/>
      <c r="E394" s="247"/>
      <c r="F394" s="247"/>
      <c r="G394" s="247"/>
      <c r="H394" s="247"/>
      <c r="I394" s="247"/>
      <c r="J394" s="247"/>
      <c r="K394" s="247"/>
      <c r="L394" s="247"/>
      <c r="M394" s="247"/>
      <c r="N394" s="247"/>
      <c r="O394" s="247"/>
    </row>
    <row r="395" spans="1:15" x14ac:dyDescent="0.25">
      <c r="A395" s="235"/>
      <c r="B395" s="235"/>
      <c r="C395" s="236"/>
      <c r="D395" s="236"/>
      <c r="E395" s="236"/>
      <c r="F395" s="236"/>
      <c r="G395" s="236"/>
      <c r="H395" s="236"/>
      <c r="I395" s="236"/>
      <c r="J395" s="236"/>
      <c r="K395" s="236"/>
      <c r="L395" s="236"/>
      <c r="M395" s="236"/>
      <c r="N395" s="236"/>
      <c r="O395" s="236"/>
    </row>
    <row r="396" spans="1:15" x14ac:dyDescent="0.25">
      <c r="A396" s="239"/>
      <c r="B396" s="239" t="s">
        <v>1274</v>
      </c>
      <c r="C396" s="247"/>
      <c r="D396" s="247"/>
      <c r="E396" s="247"/>
      <c r="F396" s="247"/>
      <c r="G396" s="247"/>
      <c r="H396" s="247"/>
      <c r="I396" s="247"/>
      <c r="J396" s="247"/>
      <c r="K396" s="247"/>
      <c r="L396" s="247"/>
      <c r="M396" s="247"/>
      <c r="N396" s="247"/>
      <c r="O396" s="247"/>
    </row>
    <row r="397" spans="1:15" x14ac:dyDescent="0.25">
      <c r="A397" s="235"/>
      <c r="B397" s="235"/>
      <c r="C397" s="236"/>
      <c r="D397" s="236"/>
      <c r="E397" s="236"/>
      <c r="F397" s="236"/>
      <c r="G397" s="236"/>
      <c r="H397" s="236"/>
      <c r="I397" s="236"/>
      <c r="J397" s="236"/>
      <c r="K397" s="236"/>
      <c r="L397" s="236"/>
      <c r="M397" s="236"/>
      <c r="N397" s="236"/>
      <c r="O397" s="236"/>
    </row>
    <row r="398" spans="1:15" x14ac:dyDescent="0.25">
      <c r="A398" s="239"/>
      <c r="B398" s="239" t="s">
        <v>1275</v>
      </c>
      <c r="C398" s="247"/>
      <c r="D398" s="247"/>
      <c r="E398" s="247"/>
      <c r="F398" s="247"/>
      <c r="G398" s="247"/>
      <c r="H398" s="247"/>
      <c r="I398" s="247"/>
      <c r="J398" s="247"/>
      <c r="K398" s="247"/>
      <c r="L398" s="247"/>
      <c r="M398" s="247"/>
      <c r="N398" s="247"/>
      <c r="O398" s="247"/>
    </row>
    <row r="399" spans="1:15" x14ac:dyDescent="0.25">
      <c r="A399" s="235"/>
      <c r="B399" s="235"/>
      <c r="C399" s="236"/>
      <c r="D399" s="236"/>
      <c r="E399" s="236"/>
      <c r="F399" s="236"/>
      <c r="G399" s="236"/>
      <c r="H399" s="236"/>
      <c r="I399" s="236"/>
      <c r="J399" s="236"/>
      <c r="K399" s="236"/>
      <c r="L399" s="236"/>
      <c r="M399" s="236"/>
      <c r="N399" s="236"/>
      <c r="O399" s="236"/>
    </row>
    <row r="400" spans="1:15" x14ac:dyDescent="0.25">
      <c r="A400" s="239"/>
      <c r="B400" s="239" t="s">
        <v>1276</v>
      </c>
      <c r="C400" s="247"/>
      <c r="D400" s="247"/>
      <c r="E400" s="247"/>
      <c r="F400" s="247"/>
      <c r="G400" s="247"/>
      <c r="H400" s="247"/>
      <c r="I400" s="247"/>
      <c r="J400" s="247"/>
      <c r="K400" s="247"/>
      <c r="L400" s="247"/>
      <c r="M400" s="247"/>
      <c r="N400" s="247"/>
      <c r="O400" s="247"/>
    </row>
    <row r="401" spans="1:15" x14ac:dyDescent="0.25">
      <c r="A401" s="235"/>
      <c r="B401" s="235"/>
      <c r="C401" s="236"/>
      <c r="D401" s="236"/>
      <c r="E401" s="236"/>
      <c r="F401" s="236"/>
      <c r="G401" s="236"/>
      <c r="H401" s="236"/>
      <c r="I401" s="236"/>
      <c r="J401" s="236"/>
      <c r="K401" s="236"/>
      <c r="L401" s="236"/>
      <c r="M401" s="236"/>
      <c r="N401" s="236"/>
      <c r="O401" s="236"/>
    </row>
    <row r="402" spans="1:15" x14ac:dyDescent="0.25">
      <c r="A402" s="239"/>
      <c r="B402" s="239" t="s">
        <v>1277</v>
      </c>
      <c r="C402" s="247"/>
      <c r="D402" s="247"/>
      <c r="E402" s="247"/>
      <c r="F402" s="247"/>
      <c r="G402" s="247"/>
      <c r="H402" s="247"/>
      <c r="I402" s="247"/>
      <c r="J402" s="247"/>
      <c r="K402" s="247"/>
      <c r="L402" s="247"/>
      <c r="M402" s="247"/>
      <c r="N402" s="247"/>
      <c r="O402" s="247"/>
    </row>
    <row r="403" spans="1:15" x14ac:dyDescent="0.25">
      <c r="A403" s="235"/>
      <c r="B403" s="235"/>
      <c r="C403" s="236"/>
      <c r="D403" s="236"/>
      <c r="E403" s="236"/>
      <c r="F403" s="236"/>
      <c r="G403" s="236"/>
      <c r="H403" s="236"/>
      <c r="I403" s="236"/>
      <c r="J403" s="236"/>
      <c r="K403" s="236"/>
      <c r="L403" s="236"/>
      <c r="M403" s="236"/>
      <c r="N403" s="236"/>
      <c r="O403" s="236"/>
    </row>
    <row r="404" spans="1:15" x14ac:dyDescent="0.25">
      <c r="A404" s="239"/>
      <c r="B404" s="239" t="s">
        <v>1278</v>
      </c>
      <c r="C404" s="247"/>
      <c r="D404" s="247"/>
      <c r="E404" s="247"/>
      <c r="F404" s="247"/>
      <c r="G404" s="247"/>
      <c r="H404" s="247"/>
      <c r="I404" s="247"/>
      <c r="J404" s="247"/>
      <c r="K404" s="247"/>
      <c r="L404" s="247"/>
      <c r="M404" s="247"/>
      <c r="N404" s="247"/>
      <c r="O404" s="247"/>
    </row>
    <row r="405" spans="1:15" x14ac:dyDescent="0.25">
      <c r="A405" s="235"/>
      <c r="B405" s="235"/>
      <c r="C405" s="236"/>
      <c r="D405" s="236"/>
      <c r="E405" s="236"/>
      <c r="F405" s="236"/>
      <c r="G405" s="236"/>
      <c r="H405" s="236"/>
      <c r="I405" s="236"/>
      <c r="J405" s="236"/>
      <c r="K405" s="236"/>
      <c r="L405" s="236"/>
      <c r="M405" s="236"/>
      <c r="N405" s="236"/>
      <c r="O405" s="236"/>
    </row>
    <row r="406" spans="1:15" x14ac:dyDescent="0.25">
      <c r="A406" s="239"/>
      <c r="B406" s="239" t="s">
        <v>1279</v>
      </c>
      <c r="C406" s="247"/>
      <c r="D406" s="247"/>
      <c r="E406" s="247"/>
      <c r="F406" s="247"/>
      <c r="G406" s="247"/>
      <c r="H406" s="247"/>
      <c r="I406" s="247"/>
      <c r="J406" s="247"/>
      <c r="K406" s="247"/>
      <c r="L406" s="247"/>
      <c r="M406" s="247"/>
      <c r="N406" s="247"/>
      <c r="O406" s="247"/>
    </row>
    <row r="407" spans="1:15" x14ac:dyDescent="0.25">
      <c r="A407" s="235"/>
      <c r="B407" s="235"/>
      <c r="C407" s="236"/>
      <c r="D407" s="236"/>
      <c r="E407" s="236"/>
      <c r="F407" s="236"/>
      <c r="G407" s="236"/>
      <c r="H407" s="236"/>
      <c r="I407" s="236"/>
      <c r="J407" s="236"/>
      <c r="K407" s="236"/>
      <c r="L407" s="236"/>
      <c r="M407" s="236"/>
      <c r="N407" s="236"/>
      <c r="O407" s="236"/>
    </row>
    <row r="408" spans="1:15" x14ac:dyDescent="0.25">
      <c r="A408" s="239"/>
      <c r="B408" s="239" t="s">
        <v>1280</v>
      </c>
      <c r="C408" s="247"/>
      <c r="D408" s="247"/>
      <c r="E408" s="247"/>
      <c r="F408" s="247"/>
      <c r="G408" s="247"/>
      <c r="H408" s="247"/>
      <c r="I408" s="247"/>
      <c r="J408" s="247"/>
      <c r="K408" s="247"/>
      <c r="L408" s="247"/>
      <c r="M408" s="247"/>
      <c r="N408" s="247"/>
      <c r="O408" s="247"/>
    </row>
    <row r="409" spans="1:15" x14ac:dyDescent="0.25">
      <c r="A409" s="235"/>
      <c r="B409" s="235"/>
      <c r="C409" s="236"/>
      <c r="D409" s="236"/>
      <c r="E409" s="236"/>
      <c r="F409" s="236"/>
      <c r="G409" s="236"/>
      <c r="H409" s="236"/>
      <c r="I409" s="236"/>
      <c r="J409" s="236"/>
      <c r="K409" s="236"/>
      <c r="L409" s="236"/>
      <c r="M409" s="236"/>
      <c r="N409" s="236"/>
      <c r="O409" s="236"/>
    </row>
    <row r="410" spans="1:15" x14ac:dyDescent="0.25">
      <c r="A410" s="239"/>
      <c r="B410" s="239" t="s">
        <v>1281</v>
      </c>
      <c r="C410" s="247"/>
      <c r="D410" s="247"/>
      <c r="E410" s="247"/>
      <c r="F410" s="247"/>
      <c r="G410" s="247"/>
      <c r="H410" s="247"/>
      <c r="I410" s="247"/>
      <c r="J410" s="247"/>
      <c r="K410" s="247"/>
      <c r="L410" s="247"/>
      <c r="M410" s="247"/>
      <c r="N410" s="247"/>
      <c r="O410" s="247"/>
    </row>
    <row r="411" spans="1:15" x14ac:dyDescent="0.25">
      <c r="A411" s="235"/>
      <c r="B411" s="235"/>
      <c r="C411" s="236"/>
      <c r="D411" s="236"/>
      <c r="E411" s="236"/>
      <c r="F411" s="236"/>
      <c r="G411" s="236"/>
      <c r="H411" s="236"/>
      <c r="I411" s="236"/>
      <c r="J411" s="236"/>
      <c r="K411" s="236"/>
      <c r="L411" s="236"/>
      <c r="M411" s="236"/>
      <c r="N411" s="236"/>
      <c r="O411" s="236"/>
    </row>
    <row r="412" spans="1:15" x14ac:dyDescent="0.25">
      <c r="A412" s="239"/>
      <c r="B412" s="239" t="s">
        <v>1282</v>
      </c>
      <c r="C412" s="247"/>
      <c r="D412" s="247"/>
      <c r="E412" s="247"/>
      <c r="F412" s="247"/>
      <c r="G412" s="247"/>
      <c r="H412" s="247"/>
      <c r="I412" s="247"/>
      <c r="J412" s="247"/>
      <c r="K412" s="247"/>
      <c r="L412" s="247"/>
      <c r="M412" s="247"/>
      <c r="N412" s="247"/>
      <c r="O412" s="247"/>
    </row>
    <row r="413" spans="1:15" x14ac:dyDescent="0.25">
      <c r="A413" s="235"/>
      <c r="B413" s="235"/>
      <c r="C413" s="236"/>
      <c r="D413" s="236"/>
      <c r="E413" s="236"/>
      <c r="F413" s="236"/>
      <c r="G413" s="236"/>
      <c r="H413" s="236"/>
      <c r="I413" s="236"/>
      <c r="J413" s="236"/>
      <c r="K413" s="236"/>
      <c r="L413" s="236"/>
      <c r="M413" s="236"/>
      <c r="N413" s="236"/>
      <c r="O413" s="236"/>
    </row>
    <row r="414" spans="1:15" x14ac:dyDescent="0.25">
      <c r="A414" s="239"/>
      <c r="B414" s="239" t="s">
        <v>1283</v>
      </c>
      <c r="C414" s="247"/>
      <c r="D414" s="247"/>
      <c r="E414" s="247"/>
      <c r="F414" s="247"/>
      <c r="G414" s="247"/>
      <c r="H414" s="247"/>
      <c r="I414" s="247"/>
      <c r="J414" s="247"/>
      <c r="K414" s="247"/>
      <c r="L414" s="247"/>
      <c r="M414" s="247"/>
      <c r="N414" s="247"/>
      <c r="O414" s="247"/>
    </row>
    <row r="415" spans="1:15" x14ac:dyDescent="0.25">
      <c r="A415" s="235"/>
      <c r="B415" s="235"/>
      <c r="C415" s="236"/>
      <c r="D415" s="236"/>
      <c r="E415" s="236"/>
      <c r="F415" s="236"/>
      <c r="G415" s="236"/>
      <c r="H415" s="236"/>
      <c r="I415" s="236"/>
      <c r="J415" s="236"/>
      <c r="K415" s="236"/>
      <c r="L415" s="236"/>
      <c r="M415" s="236"/>
      <c r="N415" s="236"/>
      <c r="O415" s="236"/>
    </row>
    <row r="416" spans="1:15" x14ac:dyDescent="0.25">
      <c r="A416" s="239"/>
      <c r="B416" s="239" t="s">
        <v>1284</v>
      </c>
      <c r="C416" s="247"/>
      <c r="D416" s="247"/>
      <c r="E416" s="247"/>
      <c r="F416" s="247"/>
      <c r="G416" s="247"/>
      <c r="H416" s="247"/>
      <c r="I416" s="247"/>
      <c r="J416" s="247"/>
      <c r="K416" s="247"/>
      <c r="L416" s="247"/>
      <c r="M416" s="247"/>
      <c r="N416" s="247"/>
      <c r="O416" s="247"/>
    </row>
    <row r="417" spans="1:15" x14ac:dyDescent="0.25">
      <c r="A417" s="235"/>
      <c r="B417" s="235"/>
      <c r="C417" s="236"/>
      <c r="D417" s="236"/>
      <c r="E417" s="236"/>
      <c r="F417" s="236"/>
      <c r="G417" s="236"/>
      <c r="H417" s="236"/>
      <c r="I417" s="236"/>
      <c r="J417" s="236"/>
      <c r="K417" s="236"/>
      <c r="L417" s="236"/>
      <c r="M417" s="236"/>
      <c r="N417" s="236"/>
      <c r="O417" s="236"/>
    </row>
    <row r="418" spans="1:15" x14ac:dyDescent="0.25">
      <c r="A418" s="239"/>
      <c r="B418" s="239" t="s">
        <v>1285</v>
      </c>
      <c r="C418" s="247"/>
      <c r="D418" s="247"/>
      <c r="E418" s="247"/>
      <c r="F418" s="247"/>
      <c r="G418" s="247"/>
      <c r="H418" s="247"/>
      <c r="I418" s="247"/>
      <c r="J418" s="247"/>
      <c r="K418" s="247"/>
      <c r="L418" s="247"/>
      <c r="M418" s="247"/>
      <c r="N418" s="247"/>
      <c r="O418" s="247"/>
    </row>
    <row r="419" spans="1:15" x14ac:dyDescent="0.25">
      <c r="A419" s="235"/>
      <c r="B419" s="235"/>
      <c r="C419" s="236"/>
      <c r="D419" s="236"/>
      <c r="E419" s="236"/>
      <c r="F419" s="236"/>
      <c r="G419" s="236"/>
      <c r="H419" s="236"/>
      <c r="I419" s="236"/>
      <c r="J419" s="236"/>
      <c r="K419" s="236"/>
      <c r="L419" s="236"/>
      <c r="M419" s="236"/>
      <c r="N419" s="236"/>
      <c r="O419" s="236"/>
    </row>
    <row r="420" spans="1:15" x14ac:dyDescent="0.25">
      <c r="A420" s="235"/>
      <c r="B420" s="235"/>
      <c r="C420" s="236"/>
      <c r="D420" s="236"/>
      <c r="E420" s="236"/>
      <c r="F420" s="236"/>
      <c r="G420" s="236"/>
      <c r="H420" s="236"/>
      <c r="I420" s="236"/>
      <c r="J420" s="236"/>
      <c r="K420" s="236"/>
      <c r="L420" s="236"/>
      <c r="M420" s="236"/>
      <c r="N420" s="236"/>
      <c r="O420" s="236"/>
    </row>
    <row r="421" spans="1:15" x14ac:dyDescent="0.25">
      <c r="A421" s="239"/>
      <c r="B421" s="239" t="s">
        <v>1286</v>
      </c>
      <c r="C421" s="247"/>
      <c r="D421" s="247"/>
      <c r="E421" s="247"/>
      <c r="F421" s="247"/>
      <c r="G421" s="247"/>
      <c r="H421" s="247"/>
      <c r="I421" s="247"/>
      <c r="J421" s="247"/>
      <c r="K421" s="247"/>
      <c r="L421" s="247"/>
      <c r="M421" s="247"/>
      <c r="N421" s="247"/>
      <c r="O421" s="247"/>
    </row>
    <row r="422" spans="1:15" x14ac:dyDescent="0.25">
      <c r="A422" s="235"/>
      <c r="B422" s="235"/>
      <c r="C422" s="236"/>
      <c r="D422" s="236"/>
      <c r="E422" s="236"/>
      <c r="F422" s="236"/>
      <c r="G422" s="236"/>
      <c r="H422" s="236"/>
      <c r="I422" s="236"/>
      <c r="J422" s="236"/>
      <c r="K422" s="236"/>
      <c r="L422" s="236"/>
      <c r="M422" s="236"/>
      <c r="N422" s="236"/>
      <c r="O422" s="236"/>
    </row>
    <row r="423" spans="1:15" x14ac:dyDescent="0.25">
      <c r="A423" s="239"/>
      <c r="B423" s="239" t="s">
        <v>1287</v>
      </c>
      <c r="C423" s="247"/>
      <c r="D423" s="247"/>
      <c r="E423" s="247"/>
      <c r="F423" s="247"/>
      <c r="G423" s="247"/>
      <c r="H423" s="247"/>
      <c r="I423" s="247"/>
      <c r="J423" s="247"/>
      <c r="K423" s="247"/>
      <c r="L423" s="247"/>
      <c r="M423" s="247"/>
      <c r="N423" s="247"/>
      <c r="O423" s="247"/>
    </row>
    <row r="424" spans="1:15" x14ac:dyDescent="0.25">
      <c r="A424" s="241"/>
      <c r="B424" s="241"/>
      <c r="C424" s="243"/>
      <c r="D424" s="243"/>
      <c r="E424" s="243"/>
      <c r="F424" s="243"/>
      <c r="G424" s="243"/>
      <c r="H424" s="243"/>
      <c r="I424" s="243"/>
      <c r="J424" s="243"/>
      <c r="K424" s="243"/>
      <c r="L424" s="243"/>
      <c r="M424" s="243"/>
      <c r="N424" s="243"/>
      <c r="O424" s="243"/>
    </row>
    <row r="425" spans="1:15" x14ac:dyDescent="0.25">
      <c r="A425" s="239"/>
      <c r="B425" s="239" t="s">
        <v>1288</v>
      </c>
      <c r="C425" s="247"/>
      <c r="D425" s="247"/>
      <c r="E425" s="247"/>
      <c r="F425" s="247"/>
      <c r="G425" s="247"/>
      <c r="H425" s="247"/>
      <c r="I425" s="247"/>
      <c r="J425" s="247"/>
      <c r="K425" s="247"/>
      <c r="L425" s="247"/>
      <c r="M425" s="247"/>
      <c r="N425" s="247"/>
      <c r="O425" s="247"/>
    </row>
    <row r="426" spans="1:15" x14ac:dyDescent="0.25">
      <c r="A426" s="241"/>
      <c r="B426" s="241"/>
      <c r="C426" s="243"/>
      <c r="D426" s="243"/>
      <c r="E426" s="243"/>
      <c r="F426" s="243"/>
      <c r="G426" s="243"/>
      <c r="H426" s="243"/>
      <c r="I426" s="243"/>
      <c r="J426" s="243"/>
      <c r="K426" s="243"/>
      <c r="L426" s="243"/>
      <c r="M426" s="243"/>
      <c r="N426" s="243"/>
      <c r="O426" s="243"/>
    </row>
    <row r="427" spans="1:15" x14ac:dyDescent="0.25">
      <c r="A427" s="239"/>
      <c r="B427" s="239" t="s">
        <v>1381</v>
      </c>
      <c r="C427" s="247"/>
      <c r="D427" s="247"/>
      <c r="E427" s="247"/>
      <c r="F427" s="247"/>
      <c r="G427" s="247"/>
      <c r="H427" s="247"/>
      <c r="I427" s="247"/>
      <c r="J427" s="247"/>
      <c r="K427" s="247"/>
      <c r="L427" s="247"/>
      <c r="M427" s="247"/>
      <c r="N427" s="247"/>
      <c r="O427" s="247"/>
    </row>
    <row r="428" spans="1:15" x14ac:dyDescent="0.25">
      <c r="A428" s="235"/>
      <c r="B428" s="235"/>
      <c r="C428" s="236"/>
      <c r="D428" s="236"/>
      <c r="E428" s="236"/>
      <c r="F428" s="236"/>
      <c r="G428" s="236"/>
      <c r="H428" s="236"/>
      <c r="I428" s="236"/>
      <c r="J428" s="236"/>
      <c r="K428" s="236"/>
      <c r="L428" s="236"/>
      <c r="M428" s="236"/>
      <c r="N428" s="236"/>
      <c r="O428" s="236"/>
    </row>
    <row r="429" spans="1:15" x14ac:dyDescent="0.25">
      <c r="A429" s="235"/>
      <c r="B429" s="235"/>
      <c r="C429" s="236"/>
      <c r="D429" s="236"/>
      <c r="E429" s="236"/>
      <c r="F429" s="236"/>
      <c r="G429" s="236"/>
      <c r="H429" s="236"/>
      <c r="I429" s="236"/>
      <c r="J429" s="236"/>
      <c r="K429" s="236"/>
      <c r="L429" s="236"/>
      <c r="M429" s="236"/>
      <c r="N429" s="236"/>
      <c r="O429" s="236"/>
    </row>
    <row r="430" spans="1:15" ht="15.75" thickBot="1" x14ac:dyDescent="0.3">
      <c r="A430" s="239"/>
      <c r="B430" s="239" t="s">
        <v>1289</v>
      </c>
      <c r="C430" s="249">
        <v>288900.2</v>
      </c>
      <c r="D430" s="249">
        <v>443305.3</v>
      </c>
      <c r="E430" s="249">
        <v>223011.11</v>
      </c>
      <c r="F430" s="261"/>
      <c r="G430" s="261"/>
      <c r="H430" s="261"/>
      <c r="I430" s="261"/>
      <c r="J430" s="261"/>
      <c r="K430" s="261"/>
      <c r="L430" s="261"/>
      <c r="M430" s="261"/>
      <c r="N430" s="261"/>
      <c r="O430" s="249">
        <v>955216.61</v>
      </c>
    </row>
    <row r="431" spans="1:15" ht="15.75" thickTop="1" x14ac:dyDescent="0.25">
      <c r="A431" s="235"/>
      <c r="B431" s="235"/>
      <c r="C431" s="248"/>
      <c r="D431" s="248"/>
      <c r="E431" s="248"/>
      <c r="F431" s="248"/>
      <c r="G431" s="248"/>
      <c r="H431" s="248"/>
      <c r="I431" s="248"/>
      <c r="J431" s="248"/>
      <c r="K431" s="248"/>
      <c r="L431" s="248"/>
      <c r="M431" s="248"/>
      <c r="N431" s="248"/>
      <c r="O431" s="248"/>
    </row>
    <row r="432" spans="1:15" ht="15.75" thickBot="1" x14ac:dyDescent="0.3">
      <c r="A432" s="239"/>
      <c r="B432" s="239" t="s">
        <v>12</v>
      </c>
      <c r="C432" s="249">
        <v>125838.43</v>
      </c>
      <c r="D432" s="249">
        <v>-50569.94</v>
      </c>
      <c r="E432" s="249">
        <v>-26360.16</v>
      </c>
      <c r="F432" s="249">
        <v>109240.29</v>
      </c>
      <c r="G432" s="249">
        <v>0</v>
      </c>
      <c r="H432" s="249">
        <v>0</v>
      </c>
      <c r="I432" s="249">
        <v>0</v>
      </c>
      <c r="J432" s="249">
        <v>0</v>
      </c>
      <c r="K432" s="249">
        <v>0</v>
      </c>
      <c r="L432" s="249">
        <v>0</v>
      </c>
      <c r="M432" s="249">
        <v>0</v>
      </c>
      <c r="N432" s="249">
        <v>0</v>
      </c>
      <c r="O432" s="249">
        <v>158148.62</v>
      </c>
    </row>
    <row r="433" spans="1:15" ht="15.75" thickTop="1" x14ac:dyDescent="0.25">
      <c r="A433" s="241"/>
      <c r="B433" s="241" t="s">
        <v>1290</v>
      </c>
      <c r="C433" s="252">
        <v>0.30341622626280002</v>
      </c>
      <c r="D433" s="252">
        <v>-0.12876339935369999</v>
      </c>
      <c r="E433" s="252">
        <v>-0.13404542413859999</v>
      </c>
      <c r="F433" s="252">
        <v>1</v>
      </c>
      <c r="G433" s="252">
        <v>0</v>
      </c>
      <c r="H433" s="252">
        <v>0</v>
      </c>
      <c r="I433" s="252">
        <v>0</v>
      </c>
      <c r="J433" s="252">
        <v>0</v>
      </c>
      <c r="K433" s="252">
        <v>0</v>
      </c>
      <c r="L433" s="252">
        <v>0</v>
      </c>
      <c r="M433" s="252">
        <v>0</v>
      </c>
      <c r="N433" s="252">
        <v>0</v>
      </c>
      <c r="O433" s="252">
        <v>1.0406074027704999</v>
      </c>
    </row>
    <row r="434" spans="1:15" x14ac:dyDescent="0.25">
      <c r="A434" s="241"/>
      <c r="B434" s="241"/>
      <c r="C434" s="243"/>
      <c r="D434" s="243"/>
      <c r="E434" s="243"/>
      <c r="F434" s="243"/>
      <c r="G434" s="243"/>
      <c r="H434" s="243"/>
      <c r="I434" s="243"/>
      <c r="J434" s="243"/>
      <c r="K434" s="243"/>
      <c r="L434" s="243"/>
      <c r="M434" s="243"/>
      <c r="N434" s="243"/>
      <c r="O434" s="243"/>
    </row>
    <row r="435" spans="1:15" x14ac:dyDescent="0.25">
      <c r="A435" s="235"/>
      <c r="B435" s="235"/>
      <c r="C435" s="236"/>
      <c r="D435" s="236"/>
      <c r="E435" s="236"/>
      <c r="F435" s="236"/>
      <c r="G435" s="236"/>
      <c r="H435" s="236"/>
      <c r="I435" s="236"/>
      <c r="J435" s="236"/>
      <c r="K435" s="236"/>
      <c r="L435" s="236"/>
      <c r="M435" s="236"/>
      <c r="N435" s="236"/>
      <c r="O435" s="236"/>
    </row>
    <row r="436" spans="1:15" x14ac:dyDescent="0.25">
      <c r="A436" s="239"/>
      <c r="B436" s="239" t="s">
        <v>1291</v>
      </c>
      <c r="C436" s="240"/>
      <c r="D436" s="240"/>
      <c r="E436" s="240"/>
      <c r="F436" s="240"/>
      <c r="G436" s="240"/>
      <c r="H436" s="240"/>
      <c r="I436" s="240"/>
      <c r="J436" s="240"/>
      <c r="K436" s="240"/>
      <c r="L436" s="240"/>
      <c r="M436" s="240"/>
      <c r="N436" s="240"/>
      <c r="O436" s="240"/>
    </row>
    <row r="437" spans="1:15" x14ac:dyDescent="0.25">
      <c r="A437" s="241" t="s">
        <v>1292</v>
      </c>
      <c r="B437" s="241" t="s">
        <v>1293</v>
      </c>
      <c r="C437" s="242">
        <v>20453.95</v>
      </c>
      <c r="D437" s="242">
        <v>19833.13</v>
      </c>
      <c r="E437" s="242">
        <v>9930.8799999999992</v>
      </c>
      <c r="F437" s="242">
        <v>-29822.5</v>
      </c>
      <c r="G437" s="242">
        <v>0</v>
      </c>
      <c r="H437" s="242">
        <v>0</v>
      </c>
      <c r="I437" s="243"/>
      <c r="J437" s="243"/>
      <c r="K437" s="242">
        <v>0</v>
      </c>
      <c r="L437" s="243"/>
      <c r="M437" s="243"/>
      <c r="N437" s="243"/>
      <c r="O437" s="242">
        <v>20395.46</v>
      </c>
    </row>
    <row r="438" spans="1:15" x14ac:dyDescent="0.25">
      <c r="A438" s="241" t="s">
        <v>1515</v>
      </c>
      <c r="B438" s="241" t="s">
        <v>1516</v>
      </c>
      <c r="C438" s="246"/>
      <c r="D438" s="246"/>
      <c r="E438" s="246"/>
      <c r="F438" s="244">
        <v>41053.370000000003</v>
      </c>
      <c r="G438" s="246"/>
      <c r="H438" s="246"/>
      <c r="I438" s="246"/>
      <c r="J438" s="246"/>
      <c r="K438" s="246"/>
      <c r="L438" s="246"/>
      <c r="M438" s="246"/>
      <c r="N438" s="246"/>
      <c r="O438" s="244">
        <v>41053.370000000003</v>
      </c>
    </row>
    <row r="439" spans="1:15" x14ac:dyDescent="0.25">
      <c r="A439" s="239"/>
      <c r="B439" s="239" t="s">
        <v>1294</v>
      </c>
      <c r="C439" s="245">
        <v>20453.95</v>
      </c>
      <c r="D439" s="245">
        <v>19833.13</v>
      </c>
      <c r="E439" s="245">
        <v>9930.8799999999992</v>
      </c>
      <c r="F439" s="245">
        <v>11230.87</v>
      </c>
      <c r="G439" s="245">
        <v>0</v>
      </c>
      <c r="H439" s="245">
        <v>0</v>
      </c>
      <c r="I439" s="245">
        <v>0</v>
      </c>
      <c r="J439" s="245">
        <v>0</v>
      </c>
      <c r="K439" s="245">
        <v>0</v>
      </c>
      <c r="L439" s="245">
        <v>0</v>
      </c>
      <c r="M439" s="245">
        <v>0</v>
      </c>
      <c r="N439" s="245">
        <v>0</v>
      </c>
      <c r="O439" s="245">
        <v>61448.83</v>
      </c>
    </row>
    <row r="440" spans="1:15" x14ac:dyDescent="0.25">
      <c r="A440" s="235"/>
      <c r="B440" s="235"/>
      <c r="C440" s="248"/>
      <c r="D440" s="248"/>
      <c r="E440" s="248"/>
      <c r="F440" s="248"/>
      <c r="G440" s="248"/>
      <c r="H440" s="248"/>
      <c r="I440" s="248"/>
      <c r="J440" s="248"/>
      <c r="K440" s="248"/>
      <c r="L440" s="248"/>
      <c r="M440" s="248"/>
      <c r="N440" s="248"/>
      <c r="O440" s="248"/>
    </row>
    <row r="441" spans="1:15" ht="15.75" thickBot="1" x14ac:dyDescent="0.3">
      <c r="A441" s="239"/>
      <c r="B441" s="239" t="s">
        <v>11</v>
      </c>
      <c r="C441" s="249">
        <v>105384.48</v>
      </c>
      <c r="D441" s="249">
        <v>-70403.070000000007</v>
      </c>
      <c r="E441" s="249">
        <v>-36291.040000000001</v>
      </c>
      <c r="F441" s="249">
        <v>98009.42</v>
      </c>
      <c r="G441" s="249">
        <v>0</v>
      </c>
      <c r="H441" s="249">
        <v>0</v>
      </c>
      <c r="I441" s="249">
        <v>0</v>
      </c>
      <c r="J441" s="249">
        <v>0</v>
      </c>
      <c r="K441" s="249">
        <v>0</v>
      </c>
      <c r="L441" s="249">
        <v>0</v>
      </c>
      <c r="M441" s="249">
        <v>0</v>
      </c>
      <c r="N441" s="249">
        <v>0</v>
      </c>
      <c r="O441" s="249">
        <v>96699.79</v>
      </c>
    </row>
    <row r="442" spans="1:15" ht="15.75" thickTop="1" x14ac:dyDescent="0.25">
      <c r="A442" s="241"/>
      <c r="B442" s="241" t="s">
        <v>1295</v>
      </c>
      <c r="C442" s="252">
        <v>0.25409853912090002</v>
      </c>
      <c r="D442" s="252">
        <v>-0.17926338489099999</v>
      </c>
      <c r="E442" s="252">
        <v>-0.18454545986170001</v>
      </c>
      <c r="F442" s="252">
        <v>0.89719113707959997</v>
      </c>
      <c r="G442" s="252">
        <v>0</v>
      </c>
      <c r="H442" s="252">
        <v>0</v>
      </c>
      <c r="I442" s="252">
        <v>0</v>
      </c>
      <c r="J442" s="252">
        <v>0</v>
      </c>
      <c r="K442" s="252">
        <v>0</v>
      </c>
      <c r="L442" s="252">
        <v>0</v>
      </c>
      <c r="M442" s="252">
        <v>0</v>
      </c>
      <c r="N442" s="252">
        <v>0</v>
      </c>
      <c r="O442" s="252">
        <v>0.78748083144769998</v>
      </c>
    </row>
    <row r="443" spans="1:15" x14ac:dyDescent="0.25">
      <c r="A443" s="235"/>
      <c r="B443" s="235"/>
      <c r="C443" s="236"/>
      <c r="D443" s="236"/>
      <c r="E443" s="236"/>
      <c r="F443" s="236"/>
      <c r="G443" s="236"/>
      <c r="H443" s="236"/>
      <c r="I443" s="236"/>
      <c r="J443" s="236"/>
      <c r="K443" s="236"/>
      <c r="L443" s="236"/>
      <c r="M443" s="236"/>
      <c r="N443" s="236"/>
      <c r="O443" s="236"/>
    </row>
    <row r="444" spans="1:15" x14ac:dyDescent="0.25">
      <c r="A444" s="235"/>
      <c r="B444" s="235"/>
      <c r="C444" s="236"/>
      <c r="D444" s="236"/>
      <c r="E444" s="236"/>
      <c r="F444" s="236"/>
      <c r="G444" s="236"/>
      <c r="H444" s="236"/>
      <c r="I444" s="236"/>
      <c r="J444" s="236"/>
      <c r="K444" s="236"/>
      <c r="L444" s="236"/>
      <c r="M444" s="236"/>
      <c r="N444" s="236"/>
      <c r="O444" s="236"/>
    </row>
    <row r="445" spans="1:15" x14ac:dyDescent="0.25">
      <c r="A445" s="241" t="s">
        <v>1296</v>
      </c>
      <c r="B445" s="241" t="s">
        <v>1297</v>
      </c>
      <c r="C445" s="242">
        <v>56656.53</v>
      </c>
      <c r="D445" s="242">
        <v>56656.53</v>
      </c>
      <c r="E445" s="242">
        <v>56656.53</v>
      </c>
      <c r="F445" s="243"/>
      <c r="G445" s="243"/>
      <c r="H445" s="243"/>
      <c r="I445" s="243"/>
      <c r="J445" s="243"/>
      <c r="K445" s="243"/>
      <c r="L445" s="243"/>
      <c r="M445" s="243"/>
      <c r="N445" s="243"/>
      <c r="O445" s="242">
        <v>169969.59</v>
      </c>
    </row>
    <row r="446" spans="1:15" x14ac:dyDescent="0.25">
      <c r="A446" s="235"/>
      <c r="B446" s="235"/>
      <c r="C446" s="248"/>
      <c r="D446" s="248"/>
      <c r="E446" s="248"/>
      <c r="F446" s="248"/>
      <c r="G446" s="248"/>
      <c r="H446" s="248"/>
      <c r="I446" s="248"/>
      <c r="J446" s="248"/>
      <c r="K446" s="248"/>
      <c r="L446" s="248"/>
      <c r="M446" s="248"/>
      <c r="N446" s="248"/>
      <c r="O446" s="248"/>
    </row>
    <row r="447" spans="1:15" ht="15.75" thickBot="1" x14ac:dyDescent="0.3">
      <c r="A447" s="239"/>
      <c r="B447" s="239" t="s">
        <v>179</v>
      </c>
      <c r="C447" s="249">
        <v>48727.95</v>
      </c>
      <c r="D447" s="249">
        <v>-127059.6</v>
      </c>
      <c r="E447" s="249">
        <v>-92947.57</v>
      </c>
      <c r="F447" s="249">
        <v>98009.42</v>
      </c>
      <c r="G447" s="261"/>
      <c r="H447" s="261"/>
      <c r="I447" s="261"/>
      <c r="J447" s="261"/>
      <c r="K447" s="261"/>
      <c r="L447" s="261"/>
      <c r="M447" s="261"/>
      <c r="N447" s="261"/>
      <c r="O447" s="249">
        <v>-73269.8</v>
      </c>
    </row>
    <row r="448" spans="1:15" ht="15.75" thickTop="1" x14ac:dyDescent="0.25">
      <c r="A448" s="241"/>
      <c r="B448" s="241" t="s">
        <v>1298</v>
      </c>
      <c r="C448" s="252">
        <v>0.1174907435075</v>
      </c>
      <c r="D448" s="252">
        <v>-0.32352472667600002</v>
      </c>
      <c r="E448" s="252">
        <v>-0.47265253485940001</v>
      </c>
      <c r="F448" s="252">
        <v>0.89719113707959997</v>
      </c>
      <c r="G448" s="252">
        <v>0</v>
      </c>
      <c r="H448" s="252">
        <v>0</v>
      </c>
      <c r="I448" s="252">
        <v>0</v>
      </c>
      <c r="J448" s="252">
        <v>0</v>
      </c>
      <c r="K448" s="252">
        <v>0</v>
      </c>
      <c r="L448" s="252">
        <v>0</v>
      </c>
      <c r="M448" s="252">
        <v>0</v>
      </c>
      <c r="N448" s="252">
        <v>0</v>
      </c>
      <c r="O448" s="252">
        <v>0.21850461905169999</v>
      </c>
    </row>
    <row r="449" spans="1:15" x14ac:dyDescent="0.25">
      <c r="A449" s="241"/>
      <c r="B449" s="241"/>
      <c r="C449" s="243"/>
      <c r="D449" s="243"/>
      <c r="E449" s="243"/>
      <c r="F449" s="243"/>
      <c r="G449" s="243"/>
      <c r="H449" s="243"/>
      <c r="I449" s="243"/>
      <c r="J449" s="243"/>
      <c r="K449" s="243"/>
      <c r="L449" s="243"/>
      <c r="M449" s="243"/>
      <c r="N449" s="243"/>
      <c r="O449" s="243"/>
    </row>
    <row r="450" spans="1:15" x14ac:dyDescent="0.25">
      <c r="A450" s="235"/>
      <c r="B450" s="235"/>
      <c r="C450" s="236"/>
      <c r="D450" s="236"/>
      <c r="E450" s="236"/>
      <c r="F450" s="236"/>
      <c r="G450" s="236"/>
      <c r="H450" s="236"/>
      <c r="I450" s="236"/>
      <c r="J450" s="236"/>
      <c r="K450" s="236"/>
      <c r="L450" s="236"/>
      <c r="M450" s="236"/>
      <c r="N450" s="236"/>
      <c r="O450" s="236"/>
    </row>
    <row r="451" spans="1:15" x14ac:dyDescent="0.25">
      <c r="A451" s="239"/>
      <c r="B451" s="239" t="s">
        <v>1299</v>
      </c>
      <c r="C451" s="240"/>
      <c r="D451" s="240"/>
      <c r="E451" s="240"/>
      <c r="F451" s="240"/>
      <c r="G451" s="240"/>
      <c r="H451" s="240"/>
      <c r="I451" s="240"/>
      <c r="J451" s="240"/>
      <c r="K451" s="240"/>
      <c r="L451" s="240"/>
      <c r="M451" s="240"/>
      <c r="N451" s="240"/>
      <c r="O451" s="240"/>
    </row>
    <row r="452" spans="1:15" x14ac:dyDescent="0.25">
      <c r="A452" s="241" t="s">
        <v>1300</v>
      </c>
      <c r="B452" s="241" t="s">
        <v>1301</v>
      </c>
      <c r="C452" s="242">
        <v>3371.3</v>
      </c>
      <c r="D452" s="242">
        <v>3371.3</v>
      </c>
      <c r="E452" s="242">
        <v>3371.3</v>
      </c>
      <c r="F452" s="243"/>
      <c r="G452" s="243"/>
      <c r="H452" s="243"/>
      <c r="I452" s="243"/>
      <c r="J452" s="243"/>
      <c r="K452" s="243"/>
      <c r="L452" s="243"/>
      <c r="M452" s="243"/>
      <c r="N452" s="243"/>
      <c r="O452" s="242">
        <v>10113.9</v>
      </c>
    </row>
    <row r="453" spans="1:15" x14ac:dyDescent="0.25">
      <c r="A453" s="241" t="s">
        <v>1304</v>
      </c>
      <c r="B453" s="241" t="s">
        <v>1305</v>
      </c>
      <c r="C453" s="242">
        <v>313.85000000000002</v>
      </c>
      <c r="D453" s="242">
        <v>512.69000000000005</v>
      </c>
      <c r="E453" s="242">
        <v>397.3</v>
      </c>
      <c r="F453" s="243"/>
      <c r="G453" s="243"/>
      <c r="H453" s="243"/>
      <c r="I453" s="243"/>
      <c r="J453" s="243"/>
      <c r="K453" s="243"/>
      <c r="L453" s="243"/>
      <c r="M453" s="243"/>
      <c r="N453" s="243"/>
      <c r="O453" s="242">
        <v>1223.8399999999999</v>
      </c>
    </row>
    <row r="454" spans="1:15" x14ac:dyDescent="0.25">
      <c r="A454" s="241" t="s">
        <v>1306</v>
      </c>
      <c r="B454" s="241" t="s">
        <v>1307</v>
      </c>
      <c r="C454" s="242">
        <v>688.41</v>
      </c>
      <c r="D454" s="242">
        <v>679.93</v>
      </c>
      <c r="E454" s="242">
        <v>658</v>
      </c>
      <c r="F454" s="243"/>
      <c r="G454" s="243"/>
      <c r="H454" s="243"/>
      <c r="I454" s="243"/>
      <c r="J454" s="243"/>
      <c r="K454" s="243"/>
      <c r="L454" s="243"/>
      <c r="M454" s="243"/>
      <c r="N454" s="243"/>
      <c r="O454" s="242">
        <v>2026.34</v>
      </c>
    </row>
    <row r="455" spans="1:15" x14ac:dyDescent="0.25">
      <c r="A455" s="241" t="s">
        <v>1308</v>
      </c>
      <c r="B455" s="241" t="s">
        <v>1309</v>
      </c>
      <c r="C455" s="242">
        <v>-93.4</v>
      </c>
      <c r="D455" s="242">
        <v>-96.8</v>
      </c>
      <c r="E455" s="242">
        <v>-97.53</v>
      </c>
      <c r="F455" s="243"/>
      <c r="G455" s="243"/>
      <c r="H455" s="243"/>
      <c r="I455" s="243"/>
      <c r="J455" s="243"/>
      <c r="K455" s="243"/>
      <c r="L455" s="243"/>
      <c r="M455" s="243"/>
      <c r="N455" s="243"/>
      <c r="O455" s="242">
        <v>-287.73</v>
      </c>
    </row>
    <row r="456" spans="1:15" x14ac:dyDescent="0.25">
      <c r="A456" s="241" t="s">
        <v>1310</v>
      </c>
      <c r="B456" s="241" t="s">
        <v>1311</v>
      </c>
      <c r="C456" s="244">
        <v>2454.1999999999998</v>
      </c>
      <c r="D456" s="244">
        <v>2503.77</v>
      </c>
      <c r="E456" s="244">
        <v>88911.98</v>
      </c>
      <c r="F456" s="246"/>
      <c r="G456" s="246"/>
      <c r="H456" s="246"/>
      <c r="I456" s="246"/>
      <c r="J456" s="246"/>
      <c r="K456" s="246"/>
      <c r="L456" s="246"/>
      <c r="M456" s="246"/>
      <c r="N456" s="246"/>
      <c r="O456" s="244">
        <v>93869.95</v>
      </c>
    </row>
    <row r="457" spans="1:15" x14ac:dyDescent="0.25">
      <c r="A457" s="239"/>
      <c r="B457" s="239" t="s">
        <v>1312</v>
      </c>
      <c r="C457" s="245">
        <v>6734.36</v>
      </c>
      <c r="D457" s="245">
        <v>6970.89</v>
      </c>
      <c r="E457" s="245">
        <v>93241.05</v>
      </c>
      <c r="F457" s="245">
        <v>0</v>
      </c>
      <c r="G457" s="245">
        <v>0</v>
      </c>
      <c r="H457" s="245">
        <v>0</v>
      </c>
      <c r="I457" s="245">
        <v>0</v>
      </c>
      <c r="J457" s="245">
        <v>0</v>
      </c>
      <c r="K457" s="245">
        <v>0</v>
      </c>
      <c r="L457" s="245">
        <v>0</v>
      </c>
      <c r="M457" s="245">
        <v>0</v>
      </c>
      <c r="N457" s="245">
        <v>0</v>
      </c>
      <c r="O457" s="245">
        <v>106946.3</v>
      </c>
    </row>
    <row r="458" spans="1:15" x14ac:dyDescent="0.25">
      <c r="A458" s="235"/>
      <c r="B458" s="235"/>
      <c r="C458" s="236"/>
      <c r="D458" s="236"/>
      <c r="E458" s="236"/>
      <c r="F458" s="236"/>
      <c r="G458" s="236"/>
      <c r="H458" s="236"/>
      <c r="I458" s="236"/>
      <c r="J458" s="236"/>
      <c r="K458" s="236"/>
      <c r="L458" s="236"/>
      <c r="M458" s="236"/>
      <c r="N458" s="236"/>
      <c r="O458" s="236"/>
    </row>
    <row r="459" spans="1:15" x14ac:dyDescent="0.25">
      <c r="A459" s="239"/>
      <c r="B459" s="239"/>
      <c r="C459" s="247"/>
      <c r="D459" s="247"/>
      <c r="E459" s="247"/>
      <c r="F459" s="247"/>
      <c r="G459" s="247"/>
      <c r="H459" s="247"/>
      <c r="I459" s="247"/>
      <c r="J459" s="247"/>
      <c r="K459" s="247"/>
      <c r="L459" s="247"/>
      <c r="M459" s="247"/>
      <c r="N459" s="247"/>
      <c r="O459" s="247"/>
    </row>
    <row r="460" spans="1:15" ht="15.75" thickBot="1" x14ac:dyDescent="0.3">
      <c r="A460" s="239"/>
      <c r="B460" s="239" t="s">
        <v>1315</v>
      </c>
      <c r="C460" s="249">
        <v>41993.59</v>
      </c>
      <c r="D460" s="249">
        <v>-134030.49</v>
      </c>
      <c r="E460" s="249">
        <v>-186188.62</v>
      </c>
      <c r="F460" s="249">
        <v>98009.42</v>
      </c>
      <c r="G460" s="249">
        <v>0</v>
      </c>
      <c r="H460" s="249">
        <v>0</v>
      </c>
      <c r="I460" s="249">
        <v>0</v>
      </c>
      <c r="J460" s="249">
        <v>0</v>
      </c>
      <c r="K460" s="249">
        <v>0</v>
      </c>
      <c r="L460" s="249">
        <v>0</v>
      </c>
      <c r="M460" s="249">
        <v>0</v>
      </c>
      <c r="N460" s="249">
        <v>0</v>
      </c>
      <c r="O460" s="249">
        <v>-180216.1</v>
      </c>
    </row>
    <row r="461" spans="1:15" ht="15.75" thickTop="1" x14ac:dyDescent="0.25">
      <c r="A461" s="235"/>
      <c r="B461" s="235"/>
      <c r="C461" s="236"/>
      <c r="D461" s="236"/>
      <c r="E461" s="236"/>
      <c r="F461" s="236"/>
      <c r="G461" s="236"/>
      <c r="H461" s="236"/>
      <c r="I461" s="236"/>
      <c r="J461" s="236"/>
      <c r="K461" s="236"/>
      <c r="L461" s="236"/>
      <c r="M461" s="236"/>
      <c r="N461" s="236"/>
      <c r="O461" s="236"/>
    </row>
    <row r="462" spans="1:15" x14ac:dyDescent="0.25">
      <c r="A462" s="241"/>
      <c r="B462" s="241" t="s">
        <v>1316</v>
      </c>
      <c r="C462" s="244">
        <v>41993.59</v>
      </c>
      <c r="D462" s="244">
        <v>-134030.49</v>
      </c>
      <c r="E462" s="244">
        <v>-186188.62</v>
      </c>
      <c r="F462" s="244">
        <v>98009.42</v>
      </c>
      <c r="G462" s="244">
        <v>0</v>
      </c>
      <c r="H462" s="244">
        <v>0</v>
      </c>
      <c r="I462" s="244">
        <v>0</v>
      </c>
      <c r="J462" s="244">
        <v>0</v>
      </c>
      <c r="K462" s="244">
        <v>0</v>
      </c>
      <c r="L462" s="244">
        <v>0</v>
      </c>
      <c r="M462" s="244">
        <v>0</v>
      </c>
      <c r="N462" s="244">
        <v>0</v>
      </c>
      <c r="O462" s="244">
        <v>-180216.1</v>
      </c>
    </row>
    <row r="463" spans="1:15" x14ac:dyDescent="0.25">
      <c r="A463" s="235"/>
      <c r="B463" s="235"/>
      <c r="C463" s="236"/>
      <c r="D463" s="236"/>
      <c r="E463" s="236"/>
      <c r="F463" s="236"/>
      <c r="G463" s="236"/>
      <c r="H463" s="236"/>
      <c r="I463" s="236"/>
      <c r="J463" s="236"/>
      <c r="K463" s="236"/>
      <c r="L463" s="236"/>
      <c r="M463" s="236"/>
      <c r="N463" s="236"/>
      <c r="O463" s="236"/>
    </row>
    <row r="464" spans="1:15" x14ac:dyDescent="0.25">
      <c r="A464" s="239"/>
      <c r="B464" s="239" t="s">
        <v>1317</v>
      </c>
      <c r="C464" s="253">
        <v>0.1012531434557</v>
      </c>
      <c r="D464" s="253">
        <v>-0.34127431255489998</v>
      </c>
      <c r="E464" s="253">
        <v>-0.94679746016989996</v>
      </c>
      <c r="F464" s="253">
        <v>0.89719113707959997</v>
      </c>
      <c r="G464" s="253">
        <v>0</v>
      </c>
      <c r="H464" s="253">
        <v>0</v>
      </c>
      <c r="I464" s="253">
        <v>0</v>
      </c>
      <c r="J464" s="253">
        <v>0</v>
      </c>
      <c r="K464" s="253">
        <v>0</v>
      </c>
      <c r="L464" s="253">
        <v>0</v>
      </c>
      <c r="M464" s="253">
        <v>0</v>
      </c>
      <c r="N464" s="253">
        <v>0</v>
      </c>
      <c r="O464" s="253">
        <v>-0.28962749218959999</v>
      </c>
    </row>
    <row r="465" spans="1:15" x14ac:dyDescent="0.25">
      <c r="A465" s="235"/>
      <c r="B465" s="235"/>
      <c r="C465" s="236"/>
      <c r="D465" s="236"/>
      <c r="E465" s="236"/>
      <c r="F465" s="236"/>
      <c r="G465" s="236"/>
      <c r="H465" s="236"/>
      <c r="I465" s="236"/>
      <c r="J465" s="236"/>
      <c r="K465" s="236"/>
      <c r="L465" s="236"/>
      <c r="M465" s="236"/>
      <c r="N465" s="236"/>
      <c r="O465" s="236"/>
    </row>
    <row r="466" spans="1:15" x14ac:dyDescent="0.25">
      <c r="A466" s="235"/>
      <c r="B466" s="235"/>
      <c r="C466" s="236"/>
      <c r="D466" s="236"/>
      <c r="E466" s="236"/>
      <c r="F466" s="236"/>
      <c r="G466" s="236"/>
      <c r="H466" s="236"/>
      <c r="I466" s="236"/>
      <c r="J466" s="236"/>
      <c r="K466" s="236"/>
      <c r="L466" s="236"/>
      <c r="M466" s="236"/>
      <c r="N466" s="236"/>
      <c r="O466" s="236"/>
    </row>
    <row r="467" spans="1:15" x14ac:dyDescent="0.25">
      <c r="A467" s="239"/>
      <c r="B467" s="239" t="s">
        <v>1318</v>
      </c>
      <c r="C467" s="240"/>
      <c r="D467" s="240"/>
      <c r="E467" s="240"/>
      <c r="F467" s="240"/>
      <c r="G467" s="240"/>
      <c r="H467" s="240"/>
      <c r="I467" s="240"/>
      <c r="J467" s="240"/>
      <c r="K467" s="240"/>
      <c r="L467" s="240"/>
      <c r="M467" s="240"/>
      <c r="N467" s="240"/>
      <c r="O467" s="240"/>
    </row>
    <row r="468" spans="1:15" x14ac:dyDescent="0.25">
      <c r="A468" s="241" t="s">
        <v>1319</v>
      </c>
      <c r="B468" s="241" t="s">
        <v>1318</v>
      </c>
      <c r="C468" s="242">
        <v>109925.93</v>
      </c>
      <c r="D468" s="242">
        <v>82763.83</v>
      </c>
      <c r="E468" s="242">
        <v>60558.9</v>
      </c>
      <c r="F468" s="242">
        <v>0</v>
      </c>
      <c r="G468" s="243"/>
      <c r="H468" s="243"/>
      <c r="I468" s="243"/>
      <c r="J468" s="243"/>
      <c r="K468" s="243"/>
      <c r="L468" s="243"/>
      <c r="M468" s="243"/>
      <c r="N468" s="243"/>
      <c r="O468" s="242">
        <v>253248.66</v>
      </c>
    </row>
    <row r="469" spans="1:15" x14ac:dyDescent="0.25">
      <c r="A469" s="241" t="s">
        <v>1320</v>
      </c>
      <c r="B469" s="241" t="s">
        <v>1321</v>
      </c>
      <c r="C469" s="242">
        <v>4212</v>
      </c>
      <c r="D469" s="242">
        <v>10575</v>
      </c>
      <c r="E469" s="242">
        <v>3733</v>
      </c>
      <c r="F469" s="243"/>
      <c r="G469" s="243"/>
      <c r="H469" s="243"/>
      <c r="I469" s="243"/>
      <c r="J469" s="243"/>
      <c r="K469" s="243"/>
      <c r="L469" s="243"/>
      <c r="M469" s="243"/>
      <c r="N469" s="243"/>
      <c r="O469" s="242">
        <v>18520</v>
      </c>
    </row>
    <row r="470" spans="1:15" x14ac:dyDescent="0.25">
      <c r="A470" s="241" t="s">
        <v>1324</v>
      </c>
      <c r="B470" s="241" t="s">
        <v>1325</v>
      </c>
      <c r="C470" s="242">
        <v>7878.61</v>
      </c>
      <c r="D470" s="242">
        <v>7767.85</v>
      </c>
      <c r="E470" s="242">
        <v>794.46</v>
      </c>
      <c r="F470" s="242">
        <v>0</v>
      </c>
      <c r="G470" s="243"/>
      <c r="H470" s="243"/>
      <c r="I470" s="243"/>
      <c r="J470" s="243"/>
      <c r="K470" s="243"/>
      <c r="L470" s="243"/>
      <c r="M470" s="243"/>
      <c r="N470" s="243"/>
      <c r="O470" s="242">
        <v>16440.919999999998</v>
      </c>
    </row>
    <row r="471" spans="1:15" x14ac:dyDescent="0.25">
      <c r="A471" s="239"/>
      <c r="B471" s="239" t="s">
        <v>1326</v>
      </c>
      <c r="C471" s="245">
        <v>122016.54</v>
      </c>
      <c r="D471" s="245">
        <v>101106.68</v>
      </c>
      <c r="E471" s="245">
        <v>65086.36</v>
      </c>
      <c r="F471" s="245">
        <v>0</v>
      </c>
      <c r="G471" s="245">
        <v>0</v>
      </c>
      <c r="H471" s="245">
        <v>0</v>
      </c>
      <c r="I471" s="245">
        <v>0</v>
      </c>
      <c r="J471" s="245">
        <v>0</v>
      </c>
      <c r="K471" s="245">
        <v>0</v>
      </c>
      <c r="L471" s="245">
        <v>0</v>
      </c>
      <c r="M471" s="245">
        <v>0</v>
      </c>
      <c r="N471" s="245">
        <v>0</v>
      </c>
      <c r="O471" s="245">
        <v>288209.58</v>
      </c>
    </row>
    <row r="472" spans="1:15" x14ac:dyDescent="0.25">
      <c r="A472" s="235"/>
      <c r="B472" s="235"/>
      <c r="C472" s="236"/>
      <c r="D472" s="236"/>
      <c r="E472" s="236"/>
      <c r="F472" s="236"/>
      <c r="G472" s="236"/>
      <c r="H472" s="236"/>
      <c r="I472" s="236"/>
      <c r="J472" s="236"/>
      <c r="K472" s="236"/>
      <c r="L472" s="236"/>
      <c r="M472" s="236"/>
      <c r="N472" s="236"/>
      <c r="O472" s="236"/>
    </row>
    <row r="473" spans="1:15" x14ac:dyDescent="0.25">
      <c r="A473" s="239"/>
      <c r="B473" s="239" t="s">
        <v>1327</v>
      </c>
      <c r="C473" s="240"/>
      <c r="D473" s="240"/>
      <c r="E473" s="240"/>
      <c r="F473" s="240"/>
      <c r="G473" s="240"/>
      <c r="H473" s="240"/>
      <c r="I473" s="240"/>
      <c r="J473" s="240"/>
      <c r="K473" s="240"/>
      <c r="L473" s="240"/>
      <c r="M473" s="240"/>
      <c r="N473" s="240"/>
      <c r="O473" s="240"/>
    </row>
    <row r="474" spans="1:15" x14ac:dyDescent="0.25">
      <c r="A474" s="241" t="s">
        <v>1328</v>
      </c>
      <c r="B474" s="241" t="s">
        <v>1329</v>
      </c>
      <c r="C474" s="242">
        <v>1640.34</v>
      </c>
      <c r="D474" s="242">
        <v>12052.38</v>
      </c>
      <c r="E474" s="242">
        <v>5564.65</v>
      </c>
      <c r="F474" s="242">
        <v>0</v>
      </c>
      <c r="G474" s="243"/>
      <c r="H474" s="243"/>
      <c r="I474" s="243"/>
      <c r="J474" s="243"/>
      <c r="K474" s="243"/>
      <c r="L474" s="243"/>
      <c r="M474" s="243"/>
      <c r="N474" s="243"/>
      <c r="O474" s="242">
        <v>19257.37</v>
      </c>
    </row>
    <row r="475" spans="1:15" x14ac:dyDescent="0.25">
      <c r="A475" s="241" t="s">
        <v>1442</v>
      </c>
      <c r="B475" s="241" t="s">
        <v>1330</v>
      </c>
      <c r="C475" s="242">
        <v>9586.9699999999993</v>
      </c>
      <c r="D475" s="242">
        <v>11487.91</v>
      </c>
      <c r="E475" s="242">
        <v>6781.64</v>
      </c>
      <c r="F475" s="242">
        <v>0</v>
      </c>
      <c r="G475" s="243"/>
      <c r="H475" s="243"/>
      <c r="I475" s="243"/>
      <c r="J475" s="243"/>
      <c r="K475" s="243"/>
      <c r="L475" s="243"/>
      <c r="M475" s="243"/>
      <c r="N475" s="243"/>
      <c r="O475" s="242">
        <v>27856.52</v>
      </c>
    </row>
    <row r="476" spans="1:15" x14ac:dyDescent="0.25">
      <c r="A476" s="241" t="s">
        <v>1505</v>
      </c>
      <c r="B476" s="241" t="s">
        <v>1331</v>
      </c>
      <c r="C476" s="242">
        <v>5494.05</v>
      </c>
      <c r="D476" s="242">
        <v>6290.7</v>
      </c>
      <c r="E476" s="242">
        <v>9348.26</v>
      </c>
      <c r="F476" s="242">
        <v>0</v>
      </c>
      <c r="G476" s="243"/>
      <c r="H476" s="242">
        <v>0</v>
      </c>
      <c r="I476" s="242">
        <v>0</v>
      </c>
      <c r="J476" s="242">
        <v>0</v>
      </c>
      <c r="K476" s="242">
        <v>0</v>
      </c>
      <c r="L476" s="243"/>
      <c r="M476" s="243"/>
      <c r="N476" s="243"/>
      <c r="O476" s="242">
        <v>21133.01</v>
      </c>
    </row>
    <row r="477" spans="1:15" x14ac:dyDescent="0.25">
      <c r="A477" s="241" t="s">
        <v>1443</v>
      </c>
      <c r="B477" s="241" t="s">
        <v>1332</v>
      </c>
      <c r="C477" s="242">
        <v>1473.86</v>
      </c>
      <c r="D477" s="242">
        <v>1901.3</v>
      </c>
      <c r="E477" s="242">
        <v>1064.25</v>
      </c>
      <c r="F477" s="242">
        <v>0</v>
      </c>
      <c r="G477" s="243"/>
      <c r="H477" s="243"/>
      <c r="I477" s="243"/>
      <c r="J477" s="243"/>
      <c r="K477" s="243"/>
      <c r="L477" s="243"/>
      <c r="M477" s="243"/>
      <c r="N477" s="243"/>
      <c r="O477" s="242">
        <v>4439.41</v>
      </c>
    </row>
    <row r="478" spans="1:15" x14ac:dyDescent="0.25">
      <c r="A478" s="241" t="s">
        <v>1333</v>
      </c>
      <c r="B478" s="241" t="s">
        <v>1334</v>
      </c>
      <c r="C478" s="242">
        <v>18.98</v>
      </c>
      <c r="D478" s="242">
        <v>223.27</v>
      </c>
      <c r="E478" s="242">
        <v>137.04</v>
      </c>
      <c r="F478" s="242">
        <v>0</v>
      </c>
      <c r="G478" s="242">
        <v>0</v>
      </c>
      <c r="H478" s="242">
        <v>0</v>
      </c>
      <c r="I478" s="243"/>
      <c r="J478" s="243"/>
      <c r="K478" s="243"/>
      <c r="L478" s="243"/>
      <c r="M478" s="243"/>
      <c r="N478" s="243"/>
      <c r="O478" s="242">
        <v>379.29</v>
      </c>
    </row>
    <row r="479" spans="1:15" x14ac:dyDescent="0.25">
      <c r="A479" s="241"/>
      <c r="B479" s="241" t="s">
        <v>1335</v>
      </c>
      <c r="C479" s="242">
        <v>18214.2</v>
      </c>
      <c r="D479" s="242">
        <v>31955.56</v>
      </c>
      <c r="E479" s="242">
        <v>22895.84</v>
      </c>
      <c r="F479" s="242">
        <v>0</v>
      </c>
      <c r="G479" s="242">
        <v>0</v>
      </c>
      <c r="H479" s="242">
        <v>0</v>
      </c>
      <c r="I479" s="242">
        <v>0</v>
      </c>
      <c r="J479" s="242">
        <v>0</v>
      </c>
      <c r="K479" s="242">
        <v>0</v>
      </c>
      <c r="L479" s="242">
        <v>0</v>
      </c>
      <c r="M479" s="242">
        <v>0</v>
      </c>
      <c r="N479" s="242">
        <v>0</v>
      </c>
      <c r="O479" s="242">
        <v>73065.600000000006</v>
      </c>
    </row>
    <row r="480" spans="1:15" x14ac:dyDescent="0.25">
      <c r="A480" s="241"/>
      <c r="B480" s="241" t="s">
        <v>1336</v>
      </c>
      <c r="C480" s="252">
        <v>0.14927648333579999</v>
      </c>
      <c r="D480" s="252">
        <v>0.31605785097479999</v>
      </c>
      <c r="E480" s="252">
        <v>0.3517763168811</v>
      </c>
      <c r="F480" s="252">
        <v>0</v>
      </c>
      <c r="G480" s="252">
        <v>0</v>
      </c>
      <c r="H480" s="252">
        <v>0</v>
      </c>
      <c r="I480" s="252">
        <v>0</v>
      </c>
      <c r="J480" s="252">
        <v>0</v>
      </c>
      <c r="K480" s="252">
        <v>0</v>
      </c>
      <c r="L480" s="252">
        <v>0</v>
      </c>
      <c r="M480" s="252">
        <v>0</v>
      </c>
      <c r="N480" s="252">
        <v>0</v>
      </c>
      <c r="O480" s="252">
        <v>0.81711065119180004</v>
      </c>
    </row>
    <row r="481" spans="1:15" x14ac:dyDescent="0.25">
      <c r="A481" s="241"/>
      <c r="B481" s="241" t="s">
        <v>1337</v>
      </c>
      <c r="C481" s="252">
        <v>7.8571069135400004E-2</v>
      </c>
      <c r="D481" s="252">
        <v>0.1136216716838</v>
      </c>
      <c r="E481" s="252">
        <v>0.1041944886763</v>
      </c>
      <c r="F481" s="252">
        <v>0</v>
      </c>
      <c r="G481" s="252">
        <v>0</v>
      </c>
      <c r="H481" s="252">
        <v>0</v>
      </c>
      <c r="I481" s="252">
        <v>0</v>
      </c>
      <c r="J481" s="252">
        <v>0</v>
      </c>
      <c r="K481" s="252">
        <v>0</v>
      </c>
      <c r="L481" s="252">
        <v>0</v>
      </c>
      <c r="M481" s="252">
        <v>0</v>
      </c>
      <c r="N481" s="252">
        <v>0</v>
      </c>
      <c r="O481" s="252">
        <v>0.2963872294955</v>
      </c>
    </row>
    <row r="482" spans="1:15" x14ac:dyDescent="0.25">
      <c r="A482" s="235"/>
      <c r="B482" s="235"/>
      <c r="C482" s="236"/>
      <c r="D482" s="236"/>
      <c r="E482" s="236"/>
      <c r="F482" s="236"/>
      <c r="G482" s="236"/>
      <c r="H482" s="236"/>
      <c r="I482" s="236"/>
      <c r="J482" s="236"/>
      <c r="K482" s="236"/>
      <c r="L482" s="236"/>
      <c r="M482" s="236"/>
      <c r="N482" s="236"/>
      <c r="O482" s="236"/>
    </row>
    <row r="483" spans="1:15" x14ac:dyDescent="0.25">
      <c r="A483" s="237"/>
      <c r="B483" s="237" t="s">
        <v>1338</v>
      </c>
      <c r="C483" s="238"/>
      <c r="D483" s="238"/>
      <c r="E483" s="238"/>
      <c r="F483" s="238"/>
      <c r="G483" s="238"/>
      <c r="H483" s="238"/>
      <c r="I483" s="238"/>
      <c r="J483" s="238"/>
      <c r="K483" s="238"/>
      <c r="L483" s="238"/>
      <c r="M483" s="238"/>
      <c r="N483" s="238"/>
      <c r="O483" s="238"/>
    </row>
    <row r="484" spans="1:15" x14ac:dyDescent="0.25">
      <c r="A484" s="237"/>
      <c r="B484" s="237"/>
      <c r="C484" s="238"/>
      <c r="D484" s="238"/>
      <c r="E484" s="238"/>
      <c r="F484" s="238"/>
      <c r="G484" s="238"/>
      <c r="H484" s="238"/>
      <c r="I484" s="238"/>
      <c r="J484" s="238"/>
      <c r="K484" s="238"/>
      <c r="L484" s="238"/>
      <c r="M484" s="238"/>
      <c r="N484" s="238"/>
      <c r="O484" s="238"/>
    </row>
    <row r="485" spans="1:15" x14ac:dyDescent="0.25">
      <c r="A485" s="241" t="s">
        <v>1339</v>
      </c>
      <c r="B485" s="241" t="s">
        <v>1340</v>
      </c>
      <c r="C485" s="242">
        <v>207</v>
      </c>
      <c r="D485" s="242">
        <v>180</v>
      </c>
      <c r="E485" s="242">
        <v>29</v>
      </c>
      <c r="F485" s="243"/>
      <c r="G485" s="242">
        <v>-30</v>
      </c>
      <c r="H485" s="243"/>
      <c r="I485" s="243"/>
      <c r="J485" s="243"/>
      <c r="K485" s="243"/>
      <c r="L485" s="243"/>
      <c r="M485" s="243"/>
      <c r="N485" s="243"/>
      <c r="O485" s="242">
        <v>386</v>
      </c>
    </row>
    <row r="486" spans="1:15" x14ac:dyDescent="0.25">
      <c r="A486" s="241" t="s">
        <v>1345</v>
      </c>
      <c r="B486" s="241" t="s">
        <v>1346</v>
      </c>
      <c r="C486" s="242">
        <v>71</v>
      </c>
      <c r="D486" s="242">
        <v>248</v>
      </c>
      <c r="E486" s="242">
        <v>64</v>
      </c>
      <c r="F486" s="243"/>
      <c r="G486" s="243"/>
      <c r="H486" s="243"/>
      <c r="I486" s="243"/>
      <c r="J486" s="243"/>
      <c r="K486" s="243"/>
      <c r="L486" s="243"/>
      <c r="M486" s="243"/>
      <c r="N486" s="243"/>
      <c r="O486" s="242">
        <v>383</v>
      </c>
    </row>
    <row r="487" spans="1:15" x14ac:dyDescent="0.25">
      <c r="A487" s="241" t="s">
        <v>1347</v>
      </c>
      <c r="B487" s="241" t="s">
        <v>1348</v>
      </c>
      <c r="C487" s="242">
        <v>139</v>
      </c>
      <c r="D487" s="242">
        <v>104</v>
      </c>
      <c r="E487" s="242">
        <v>31</v>
      </c>
      <c r="F487" s="242">
        <v>-5</v>
      </c>
      <c r="G487" s="243"/>
      <c r="H487" s="243"/>
      <c r="I487" s="243"/>
      <c r="J487" s="243"/>
      <c r="K487" s="243"/>
      <c r="L487" s="243"/>
      <c r="M487" s="243"/>
      <c r="N487" s="243"/>
      <c r="O487" s="242">
        <v>269</v>
      </c>
    </row>
    <row r="488" spans="1:15" x14ac:dyDescent="0.25">
      <c r="A488" s="241" t="s">
        <v>1349</v>
      </c>
      <c r="B488" s="241" t="s">
        <v>1350</v>
      </c>
      <c r="C488" s="242">
        <v>801</v>
      </c>
      <c r="D488" s="242">
        <v>543</v>
      </c>
      <c r="E488" s="242">
        <v>158</v>
      </c>
      <c r="F488" s="242">
        <v>5</v>
      </c>
      <c r="G488" s="242">
        <v>134</v>
      </c>
      <c r="H488" s="243"/>
      <c r="I488" s="243"/>
      <c r="J488" s="243"/>
      <c r="K488" s="243"/>
      <c r="L488" s="243"/>
      <c r="M488" s="243"/>
      <c r="N488" s="243"/>
      <c r="O488" s="242">
        <v>1641</v>
      </c>
    </row>
    <row r="489" spans="1:15" x14ac:dyDescent="0.25">
      <c r="A489" s="241" t="s">
        <v>1351</v>
      </c>
      <c r="B489" s="241" t="s">
        <v>1352</v>
      </c>
      <c r="C489" s="244">
        <v>-106</v>
      </c>
      <c r="D489" s="244">
        <v>-35</v>
      </c>
      <c r="E489" s="244">
        <v>-52</v>
      </c>
      <c r="F489" s="246"/>
      <c r="G489" s="244">
        <v>-104</v>
      </c>
      <c r="H489" s="246"/>
      <c r="I489" s="246"/>
      <c r="J489" s="246"/>
      <c r="K489" s="246"/>
      <c r="L489" s="246"/>
      <c r="M489" s="246"/>
      <c r="N489" s="246"/>
      <c r="O489" s="244">
        <v>-297</v>
      </c>
    </row>
    <row r="490" spans="1:15" ht="15.75" thickBot="1" x14ac:dyDescent="0.3">
      <c r="A490" s="239"/>
      <c r="B490" s="239" t="s">
        <v>1361</v>
      </c>
      <c r="C490" s="254">
        <v>1112</v>
      </c>
      <c r="D490" s="254">
        <v>1040</v>
      </c>
      <c r="E490" s="254">
        <v>230</v>
      </c>
      <c r="F490" s="261"/>
      <c r="G490" s="261"/>
      <c r="H490" s="261"/>
      <c r="I490" s="261"/>
      <c r="J490" s="261"/>
      <c r="K490" s="261"/>
      <c r="L490" s="261"/>
      <c r="M490" s="261"/>
      <c r="N490" s="261"/>
      <c r="O490" s="254">
        <v>2382</v>
      </c>
    </row>
    <row r="491" spans="1:15" ht="15.75" thickTop="1" x14ac:dyDescent="0.25">
      <c r="A491" s="235"/>
      <c r="B491" s="235"/>
      <c r="C491" s="236"/>
      <c r="D491" s="236"/>
      <c r="E491" s="236"/>
      <c r="F491" s="236"/>
      <c r="G491" s="236"/>
      <c r="H491" s="236"/>
      <c r="I491" s="236"/>
      <c r="J491" s="236"/>
      <c r="K491" s="236"/>
      <c r="L491" s="236"/>
      <c r="M491" s="236"/>
      <c r="N491" s="236"/>
      <c r="O491" s="236"/>
    </row>
    <row r="492" spans="1:15" x14ac:dyDescent="0.25">
      <c r="A492" s="241" t="s">
        <v>1362</v>
      </c>
      <c r="B492" s="241" t="s">
        <v>1363</v>
      </c>
      <c r="C492" s="255">
        <v>1530</v>
      </c>
      <c r="D492" s="255">
        <v>1581</v>
      </c>
      <c r="E492" s="255">
        <v>1530</v>
      </c>
      <c r="F492" s="243"/>
      <c r="G492" s="243"/>
      <c r="H492" s="243"/>
      <c r="I492" s="243"/>
      <c r="J492" s="243"/>
      <c r="K492" s="243"/>
      <c r="L492" s="243"/>
      <c r="M492" s="243"/>
      <c r="N492" s="243"/>
      <c r="O492" s="255">
        <v>4641</v>
      </c>
    </row>
    <row r="493" spans="1:15" x14ac:dyDescent="0.25">
      <c r="A493" s="241"/>
      <c r="B493" s="241" t="s">
        <v>1364</v>
      </c>
      <c r="C493" s="252">
        <v>0.72679738562090002</v>
      </c>
      <c r="D493" s="252">
        <v>0.65781151170149998</v>
      </c>
      <c r="E493" s="252">
        <v>0.15032679738560001</v>
      </c>
      <c r="F493" s="252">
        <v>0</v>
      </c>
      <c r="G493" s="252">
        <v>0</v>
      </c>
      <c r="H493" s="252">
        <v>0</v>
      </c>
      <c r="I493" s="252">
        <v>0</v>
      </c>
      <c r="J493" s="252">
        <v>0</v>
      </c>
      <c r="K493" s="252">
        <v>0</v>
      </c>
      <c r="L493" s="252">
        <v>0</v>
      </c>
      <c r="M493" s="252">
        <v>0</v>
      </c>
      <c r="N493" s="252">
        <v>0</v>
      </c>
      <c r="O493" s="252">
        <v>1.534935694708</v>
      </c>
    </row>
    <row r="494" spans="1:15" x14ac:dyDescent="0.25">
      <c r="A494" s="235"/>
      <c r="B494" s="235"/>
      <c r="C494" s="236"/>
      <c r="D494" s="236"/>
      <c r="E494" s="236"/>
      <c r="F494" s="236"/>
      <c r="G494" s="236"/>
      <c r="H494" s="236"/>
      <c r="I494" s="236"/>
      <c r="J494" s="236"/>
      <c r="K494" s="236"/>
      <c r="L494" s="236"/>
      <c r="M494" s="236"/>
      <c r="N494" s="236"/>
      <c r="O494" s="236"/>
    </row>
    <row r="495" spans="1:15" x14ac:dyDescent="0.25">
      <c r="A495" s="241"/>
      <c r="B495" s="241" t="s">
        <v>1378</v>
      </c>
      <c r="C495" s="252">
        <v>0.72679738562090002</v>
      </c>
      <c r="D495" s="252">
        <v>0.65781151170149998</v>
      </c>
      <c r="E495" s="252">
        <v>0.15032679738560001</v>
      </c>
      <c r="F495" s="243"/>
      <c r="G495" s="243"/>
      <c r="H495" s="243"/>
      <c r="I495" s="243"/>
      <c r="J495" s="243"/>
      <c r="K495" s="243"/>
      <c r="L495" s="243"/>
      <c r="M495" s="243"/>
      <c r="N495" s="243"/>
      <c r="O495" s="252">
        <v>1.534935694708</v>
      </c>
    </row>
    <row r="496" spans="1:15" x14ac:dyDescent="0.25">
      <c r="A496" s="241" t="s">
        <v>1365</v>
      </c>
      <c r="B496" s="241" t="s">
        <v>1366</v>
      </c>
      <c r="C496" s="255">
        <v>1530</v>
      </c>
      <c r="D496" s="255">
        <v>1581</v>
      </c>
      <c r="E496" s="255">
        <v>1530</v>
      </c>
      <c r="F496" s="243"/>
      <c r="G496" s="243"/>
      <c r="H496" s="243"/>
      <c r="I496" s="243"/>
      <c r="J496" s="243"/>
      <c r="K496" s="243"/>
      <c r="L496" s="243"/>
      <c r="M496" s="243"/>
      <c r="N496" s="243"/>
      <c r="O496" s="255">
        <v>4641</v>
      </c>
    </row>
    <row r="497" spans="1:15" x14ac:dyDescent="0.25">
      <c r="A497" s="235"/>
      <c r="B497" s="235"/>
      <c r="C497" s="236"/>
      <c r="D497" s="236"/>
      <c r="E497" s="236"/>
      <c r="F497" s="236"/>
      <c r="G497" s="236"/>
      <c r="H497" s="236"/>
      <c r="I497" s="236"/>
      <c r="J497" s="236"/>
      <c r="K497" s="236"/>
      <c r="L497" s="236"/>
      <c r="M497" s="236"/>
      <c r="N497" s="236"/>
      <c r="O497" s="236"/>
    </row>
    <row r="498" spans="1:15" x14ac:dyDescent="0.25">
      <c r="A498" s="237"/>
      <c r="B498" s="237" t="s">
        <v>1543</v>
      </c>
      <c r="C498" s="238"/>
      <c r="D498" s="238"/>
      <c r="E498" s="238"/>
      <c r="F498" s="238"/>
      <c r="G498" s="238"/>
      <c r="H498" s="238"/>
      <c r="I498" s="238"/>
      <c r="J498" s="238"/>
      <c r="K498" s="238"/>
      <c r="L498" s="238"/>
      <c r="M498" s="238"/>
      <c r="N498" s="238"/>
      <c r="O498" s="238"/>
    </row>
    <row r="499" spans="1:15" x14ac:dyDescent="0.25">
      <c r="A499" s="256"/>
      <c r="B499" s="235"/>
      <c r="C499" s="236"/>
      <c r="D499" s="236"/>
      <c r="E499" s="236"/>
      <c r="F499" s="236"/>
      <c r="G499" s="236"/>
      <c r="H499" s="236"/>
      <c r="I499" s="236"/>
      <c r="J499" s="236"/>
      <c r="K499" s="236"/>
      <c r="L499" s="236"/>
      <c r="M499" s="236"/>
      <c r="N499" s="236"/>
      <c r="O499" s="236"/>
    </row>
    <row r="500" spans="1:15" x14ac:dyDescent="0.25">
      <c r="A500" s="241" t="s">
        <v>1544</v>
      </c>
      <c r="B500" s="241" t="s">
        <v>571</v>
      </c>
      <c r="C500" s="257">
        <v>6.9</v>
      </c>
      <c r="D500" s="257">
        <v>5.81</v>
      </c>
      <c r="E500" s="257">
        <v>0.97</v>
      </c>
      <c r="F500" s="243"/>
      <c r="G500" s="257">
        <v>-0.97</v>
      </c>
      <c r="H500" s="243"/>
      <c r="I500" s="243"/>
      <c r="J500" s="243"/>
      <c r="K500" s="243"/>
      <c r="L500" s="243"/>
      <c r="M500" s="243"/>
      <c r="N500" s="243"/>
      <c r="O500" s="257">
        <v>12.71</v>
      </c>
    </row>
    <row r="501" spans="1:15" x14ac:dyDescent="0.25">
      <c r="A501" s="241" t="s">
        <v>1547</v>
      </c>
      <c r="B501" s="241" t="s">
        <v>1548</v>
      </c>
      <c r="C501" s="257">
        <v>2.37</v>
      </c>
      <c r="D501" s="257">
        <v>8</v>
      </c>
      <c r="E501" s="257">
        <v>2.13</v>
      </c>
      <c r="F501" s="243"/>
      <c r="G501" s="243"/>
      <c r="H501" s="243"/>
      <c r="I501" s="243"/>
      <c r="J501" s="243"/>
      <c r="K501" s="243"/>
      <c r="L501" s="243"/>
      <c r="M501" s="243"/>
      <c r="N501" s="243"/>
      <c r="O501" s="257">
        <v>12.5</v>
      </c>
    </row>
    <row r="502" spans="1:15" x14ac:dyDescent="0.25">
      <c r="A502" s="241" t="s">
        <v>1549</v>
      </c>
      <c r="B502" s="241" t="s">
        <v>721</v>
      </c>
      <c r="C502" s="257">
        <v>4.63</v>
      </c>
      <c r="D502" s="257">
        <v>3.35</v>
      </c>
      <c r="E502" s="257">
        <v>1.03</v>
      </c>
      <c r="F502" s="257">
        <v>-0.16</v>
      </c>
      <c r="G502" s="243"/>
      <c r="H502" s="243"/>
      <c r="I502" s="243"/>
      <c r="J502" s="243"/>
      <c r="K502" s="243"/>
      <c r="L502" s="243"/>
      <c r="M502" s="243"/>
      <c r="N502" s="243"/>
      <c r="O502" s="257">
        <v>8.85</v>
      </c>
    </row>
    <row r="503" spans="1:15" x14ac:dyDescent="0.25">
      <c r="A503" s="241" t="s">
        <v>1551</v>
      </c>
      <c r="B503" s="241" t="s">
        <v>658</v>
      </c>
      <c r="C503" s="257">
        <v>26.7</v>
      </c>
      <c r="D503" s="257">
        <v>17.52</v>
      </c>
      <c r="E503" s="257">
        <v>5.27</v>
      </c>
      <c r="F503" s="257">
        <v>0.16</v>
      </c>
      <c r="G503" s="257">
        <v>4.32</v>
      </c>
      <c r="H503" s="243"/>
      <c r="I503" s="243"/>
      <c r="J503" s="243"/>
      <c r="K503" s="243"/>
      <c r="L503" s="243"/>
      <c r="M503" s="243"/>
      <c r="N503" s="243"/>
      <c r="O503" s="257">
        <v>53.97</v>
      </c>
    </row>
    <row r="504" spans="1:15" x14ac:dyDescent="0.25">
      <c r="A504" s="241" t="s">
        <v>1552</v>
      </c>
      <c r="B504" s="241" t="s">
        <v>680</v>
      </c>
      <c r="C504" s="257">
        <v>-3.53</v>
      </c>
      <c r="D504" s="257">
        <v>-1.1299999999999999</v>
      </c>
      <c r="E504" s="257">
        <v>-1.73</v>
      </c>
      <c r="F504" s="243"/>
      <c r="G504" s="257">
        <v>-3.35</v>
      </c>
      <c r="H504" s="243"/>
      <c r="I504" s="243"/>
      <c r="J504" s="243"/>
      <c r="K504" s="243"/>
      <c r="L504" s="243"/>
      <c r="M504" s="243"/>
      <c r="N504" s="243"/>
      <c r="O504" s="257">
        <v>-9.74</v>
      </c>
    </row>
    <row r="505" spans="1:15" x14ac:dyDescent="0.25">
      <c r="A505" s="241"/>
      <c r="B505" s="241" t="s">
        <v>1557</v>
      </c>
      <c r="C505" s="246"/>
      <c r="D505" s="246"/>
      <c r="E505" s="246"/>
      <c r="F505" s="246"/>
      <c r="G505" s="246"/>
      <c r="H505" s="246"/>
      <c r="I505" s="246"/>
      <c r="J505" s="246"/>
      <c r="K505" s="246"/>
      <c r="L505" s="246"/>
      <c r="M505" s="246"/>
      <c r="N505" s="246"/>
      <c r="O505" s="246"/>
    </row>
    <row r="506" spans="1:15" ht="15.75" thickBot="1" x14ac:dyDescent="0.3">
      <c r="A506" s="239"/>
      <c r="B506" s="239" t="s">
        <v>1558</v>
      </c>
      <c r="C506" s="258">
        <v>37.07</v>
      </c>
      <c r="D506" s="258">
        <v>33.549999999999997</v>
      </c>
      <c r="E506" s="258">
        <v>7.67</v>
      </c>
      <c r="F506" s="261"/>
      <c r="G506" s="261"/>
      <c r="H506" s="261"/>
      <c r="I506" s="261"/>
      <c r="J506" s="261"/>
      <c r="K506" s="261"/>
      <c r="L506" s="261"/>
      <c r="M506" s="261"/>
      <c r="N506" s="261"/>
      <c r="O506" s="258">
        <v>78.290000000000006</v>
      </c>
    </row>
    <row r="507" spans="1:15" ht="15.75" thickTop="1" x14ac:dyDescent="0.25">
      <c r="A507" s="256"/>
      <c r="B507" s="235"/>
      <c r="C507" s="236"/>
      <c r="D507" s="236"/>
      <c r="E507" s="236"/>
      <c r="F507" s="236"/>
      <c r="G507" s="236"/>
      <c r="H507" s="236"/>
      <c r="I507" s="236"/>
      <c r="J507" s="236"/>
      <c r="K507" s="236"/>
      <c r="L507" s="236"/>
      <c r="M507" s="236"/>
      <c r="N507" s="236"/>
      <c r="O507" s="236"/>
    </row>
    <row r="508" spans="1:15" x14ac:dyDescent="0.25">
      <c r="A508" s="259"/>
      <c r="B508" s="259" t="s">
        <v>1559</v>
      </c>
      <c r="C508" s="260"/>
      <c r="D508" s="260"/>
      <c r="E508" s="260"/>
      <c r="F508" s="260"/>
      <c r="G508" s="260"/>
      <c r="H508" s="260"/>
      <c r="I508" s="260"/>
      <c r="J508" s="260"/>
      <c r="K508" s="260"/>
      <c r="L508" s="260"/>
      <c r="M508" s="260"/>
      <c r="N508" s="260"/>
      <c r="O508" s="260"/>
    </row>
    <row r="509" spans="1:15" x14ac:dyDescent="0.25">
      <c r="A509" s="239"/>
      <c r="B509" s="239" t="s">
        <v>1455</v>
      </c>
      <c r="C509" s="240"/>
      <c r="D509" s="240"/>
      <c r="E509" s="240"/>
      <c r="F509" s="240"/>
      <c r="G509" s="240"/>
      <c r="H509" s="240"/>
      <c r="I509" s="240"/>
      <c r="J509" s="240"/>
      <c r="K509" s="240"/>
      <c r="L509" s="240"/>
      <c r="M509" s="240"/>
      <c r="N509" s="240"/>
      <c r="O509" s="240"/>
    </row>
    <row r="510" spans="1:15" x14ac:dyDescent="0.25">
      <c r="A510" s="241" t="s">
        <v>1425</v>
      </c>
      <c r="B510" s="241" t="s">
        <v>1426</v>
      </c>
      <c r="C510" s="242">
        <v>92936.19</v>
      </c>
      <c r="D510" s="242">
        <v>16226.13</v>
      </c>
      <c r="E510" s="242">
        <v>57836.79</v>
      </c>
      <c r="F510" s="242">
        <v>72060.2</v>
      </c>
      <c r="G510" s="243"/>
      <c r="H510" s="243"/>
      <c r="I510" s="243"/>
      <c r="J510" s="243"/>
      <c r="K510" s="243"/>
      <c r="L510" s="243"/>
      <c r="M510" s="243"/>
      <c r="N510" s="243"/>
      <c r="O510" s="242">
        <v>239059.31</v>
      </c>
    </row>
    <row r="511" spans="1:15" x14ac:dyDescent="0.25">
      <c r="A511" s="241" t="s">
        <v>1427</v>
      </c>
      <c r="B511" s="241" t="s">
        <v>1428</v>
      </c>
      <c r="C511" s="242">
        <v>5642.56</v>
      </c>
      <c r="D511" s="242">
        <v>4092.48</v>
      </c>
      <c r="E511" s="242">
        <v>785.61</v>
      </c>
      <c r="F511" s="243"/>
      <c r="G511" s="243"/>
      <c r="H511" s="243"/>
      <c r="I511" s="243"/>
      <c r="J511" s="243"/>
      <c r="K511" s="243"/>
      <c r="L511" s="243"/>
      <c r="M511" s="243"/>
      <c r="N511" s="243"/>
      <c r="O511" s="242">
        <v>10520.65</v>
      </c>
    </row>
    <row r="512" spans="1:15" x14ac:dyDescent="0.25">
      <c r="A512" s="241" t="s">
        <v>1444</v>
      </c>
      <c r="B512" s="241" t="s">
        <v>1445</v>
      </c>
      <c r="C512" s="242">
        <v>696</v>
      </c>
      <c r="D512" s="242">
        <v>2818</v>
      </c>
      <c r="E512" s="242">
        <v>711</v>
      </c>
      <c r="F512" s="243"/>
      <c r="G512" s="243"/>
      <c r="H512" s="243"/>
      <c r="I512" s="243"/>
      <c r="J512" s="243"/>
      <c r="K512" s="243"/>
      <c r="L512" s="243"/>
      <c r="M512" s="243"/>
      <c r="N512" s="243"/>
      <c r="O512" s="242">
        <v>4225</v>
      </c>
    </row>
    <row r="513" spans="1:15" x14ac:dyDescent="0.25">
      <c r="A513" s="241" t="s">
        <v>1446</v>
      </c>
      <c r="B513" s="241" t="s">
        <v>1447</v>
      </c>
      <c r="C513" s="242">
        <v>2940.71</v>
      </c>
      <c r="D513" s="242">
        <v>5119.8500000000004</v>
      </c>
      <c r="E513" s="242">
        <v>4680.5</v>
      </c>
      <c r="F513" s="243"/>
      <c r="G513" s="243"/>
      <c r="H513" s="243"/>
      <c r="I513" s="243"/>
      <c r="J513" s="243"/>
      <c r="K513" s="243"/>
      <c r="L513" s="243"/>
      <c r="M513" s="243"/>
      <c r="N513" s="243"/>
      <c r="O513" s="242">
        <v>12741.06</v>
      </c>
    </row>
    <row r="514" spans="1:15" x14ac:dyDescent="0.25">
      <c r="A514" s="241" t="s">
        <v>1492</v>
      </c>
      <c r="B514" s="241" t="s">
        <v>1493</v>
      </c>
      <c r="C514" s="243"/>
      <c r="D514" s="242">
        <v>15824</v>
      </c>
      <c r="E514" s="242">
        <v>976</v>
      </c>
      <c r="F514" s="242">
        <v>37180.089999999997</v>
      </c>
      <c r="G514" s="243"/>
      <c r="H514" s="243"/>
      <c r="I514" s="243"/>
      <c r="J514" s="243"/>
      <c r="K514" s="243"/>
      <c r="L514" s="243"/>
      <c r="M514" s="243"/>
      <c r="N514" s="243"/>
      <c r="O514" s="242">
        <v>53980.09</v>
      </c>
    </row>
    <row r="515" spans="1:15" x14ac:dyDescent="0.25">
      <c r="A515" s="239"/>
      <c r="B515" s="239" t="s">
        <v>1456</v>
      </c>
      <c r="C515" s="245">
        <v>102215.46</v>
      </c>
      <c r="D515" s="245">
        <v>44080.46</v>
      </c>
      <c r="E515" s="245">
        <v>64989.9</v>
      </c>
      <c r="F515" s="245">
        <v>109240.29</v>
      </c>
      <c r="G515" s="240"/>
      <c r="H515" s="240"/>
      <c r="I515" s="240"/>
      <c r="J515" s="240"/>
      <c r="K515" s="240"/>
      <c r="L515" s="240"/>
      <c r="M515" s="240"/>
      <c r="N515" s="240"/>
      <c r="O515" s="245">
        <v>320526.11</v>
      </c>
    </row>
    <row r="516" spans="1:15" x14ac:dyDescent="0.25">
      <c r="A516" s="256"/>
      <c r="B516" s="235"/>
      <c r="C516" s="236"/>
      <c r="D516" s="236"/>
      <c r="E516" s="236"/>
      <c r="F516" s="236"/>
      <c r="G516" s="236"/>
      <c r="H516" s="236"/>
      <c r="I516" s="236"/>
      <c r="J516" s="236"/>
      <c r="K516" s="236"/>
      <c r="L516" s="236"/>
      <c r="M516" s="236"/>
      <c r="N516" s="236"/>
      <c r="O516" s="236"/>
    </row>
    <row r="517" spans="1:15" x14ac:dyDescent="0.25">
      <c r="A517" s="259"/>
      <c r="B517" s="259" t="s">
        <v>1560</v>
      </c>
      <c r="C517" s="260"/>
      <c r="D517" s="260"/>
      <c r="E517" s="260"/>
      <c r="F517" s="260"/>
      <c r="G517" s="260"/>
      <c r="H517" s="260"/>
      <c r="I517" s="260"/>
      <c r="J517" s="260"/>
      <c r="K517" s="260"/>
      <c r="L517" s="260"/>
      <c r="M517" s="260"/>
      <c r="N517" s="260"/>
      <c r="O517" s="260"/>
    </row>
    <row r="518" spans="1:15" x14ac:dyDescent="0.25">
      <c r="A518" s="239"/>
      <c r="B518" s="239" t="s">
        <v>1457</v>
      </c>
      <c r="C518" s="240"/>
      <c r="D518" s="240"/>
      <c r="E518" s="240"/>
      <c r="F518" s="240"/>
      <c r="G518" s="240"/>
      <c r="H518" s="240"/>
      <c r="I518" s="240"/>
      <c r="J518" s="240"/>
      <c r="K518" s="240"/>
      <c r="L518" s="240"/>
      <c r="M518" s="240"/>
      <c r="N518" s="240"/>
      <c r="O518" s="240"/>
    </row>
    <row r="519" spans="1:15" x14ac:dyDescent="0.25">
      <c r="A519" s="241" t="s">
        <v>1416</v>
      </c>
      <c r="B519" s="241" t="s">
        <v>1458</v>
      </c>
      <c r="C519" s="242">
        <v>3680.42</v>
      </c>
      <c r="D519" s="242">
        <v>9473.14</v>
      </c>
      <c r="E519" s="242">
        <v>5998.87</v>
      </c>
      <c r="F519" s="243"/>
      <c r="G519" s="243"/>
      <c r="H519" s="243"/>
      <c r="I519" s="243"/>
      <c r="J519" s="243"/>
      <c r="K519" s="243"/>
      <c r="L519" s="243"/>
      <c r="M519" s="243"/>
      <c r="N519" s="243"/>
      <c r="O519" s="242">
        <v>19152.43</v>
      </c>
    </row>
    <row r="520" spans="1:15" x14ac:dyDescent="0.25">
      <c r="A520" s="241" t="s">
        <v>1429</v>
      </c>
      <c r="B520" s="241" t="s">
        <v>1459</v>
      </c>
      <c r="C520" s="242">
        <v>4347.53</v>
      </c>
      <c r="D520" s="242">
        <v>27010.799999999999</v>
      </c>
      <c r="E520" s="242">
        <v>18327.73</v>
      </c>
      <c r="F520" s="243"/>
      <c r="G520" s="243"/>
      <c r="H520" s="243"/>
      <c r="I520" s="243"/>
      <c r="J520" s="243"/>
      <c r="K520" s="243"/>
      <c r="L520" s="243"/>
      <c r="M520" s="243"/>
      <c r="N520" s="243"/>
      <c r="O520" s="242">
        <v>49686.06</v>
      </c>
    </row>
    <row r="521" spans="1:15" x14ac:dyDescent="0.25">
      <c r="A521" s="241" t="s">
        <v>1430</v>
      </c>
      <c r="B521" s="241" t="s">
        <v>1460</v>
      </c>
      <c r="C521" s="242">
        <v>872.26</v>
      </c>
      <c r="D521" s="242">
        <v>7495.17</v>
      </c>
      <c r="E521" s="242">
        <v>2379.04</v>
      </c>
      <c r="F521" s="243"/>
      <c r="G521" s="243"/>
      <c r="H521" s="243"/>
      <c r="I521" s="243"/>
      <c r="J521" s="243"/>
      <c r="K521" s="243"/>
      <c r="L521" s="243"/>
      <c r="M521" s="243"/>
      <c r="N521" s="243"/>
      <c r="O521" s="242">
        <v>10746.47</v>
      </c>
    </row>
    <row r="522" spans="1:15" x14ac:dyDescent="0.25">
      <c r="A522" s="241" t="s">
        <v>1418</v>
      </c>
      <c r="B522" s="241" t="s">
        <v>1463</v>
      </c>
      <c r="C522" s="242">
        <v>174</v>
      </c>
      <c r="D522" s="242">
        <v>1421.98</v>
      </c>
      <c r="E522" s="242">
        <v>850.33</v>
      </c>
      <c r="F522" s="243"/>
      <c r="G522" s="243"/>
      <c r="H522" s="243"/>
      <c r="I522" s="243"/>
      <c r="J522" s="243"/>
      <c r="K522" s="243"/>
      <c r="L522" s="243"/>
      <c r="M522" s="243"/>
      <c r="N522" s="243"/>
      <c r="O522" s="242">
        <v>2446.31</v>
      </c>
    </row>
    <row r="523" spans="1:15" x14ac:dyDescent="0.25">
      <c r="A523" s="241" t="s">
        <v>1433</v>
      </c>
      <c r="B523" s="241" t="s">
        <v>1465</v>
      </c>
      <c r="C523" s="243"/>
      <c r="D523" s="242">
        <v>227.17</v>
      </c>
      <c r="E523" s="242">
        <v>-33.01</v>
      </c>
      <c r="F523" s="243"/>
      <c r="G523" s="243"/>
      <c r="H523" s="243"/>
      <c r="I523" s="243"/>
      <c r="J523" s="243"/>
      <c r="K523" s="243"/>
      <c r="L523" s="243"/>
      <c r="M523" s="243"/>
      <c r="N523" s="243"/>
      <c r="O523" s="242">
        <v>194.16</v>
      </c>
    </row>
    <row r="524" spans="1:15" x14ac:dyDescent="0.25">
      <c r="A524" s="241" t="s">
        <v>1434</v>
      </c>
      <c r="B524" s="241" t="s">
        <v>1466</v>
      </c>
      <c r="C524" s="243"/>
      <c r="D524" s="242">
        <v>339.98</v>
      </c>
      <c r="E524" s="242">
        <v>-49.4</v>
      </c>
      <c r="F524" s="243"/>
      <c r="G524" s="243"/>
      <c r="H524" s="243"/>
      <c r="I524" s="243"/>
      <c r="J524" s="243"/>
      <c r="K524" s="243"/>
      <c r="L524" s="243"/>
      <c r="M524" s="243"/>
      <c r="N524" s="243"/>
      <c r="O524" s="242">
        <v>290.58</v>
      </c>
    </row>
    <row r="525" spans="1:15" x14ac:dyDescent="0.25">
      <c r="A525" s="241" t="s">
        <v>1435</v>
      </c>
      <c r="B525" s="241" t="s">
        <v>1467</v>
      </c>
      <c r="C525" s="243"/>
      <c r="D525" s="242">
        <v>261.8</v>
      </c>
      <c r="E525" s="242">
        <v>-38.04</v>
      </c>
      <c r="F525" s="243"/>
      <c r="G525" s="243"/>
      <c r="H525" s="243"/>
      <c r="I525" s="243"/>
      <c r="J525" s="243"/>
      <c r="K525" s="243"/>
      <c r="L525" s="243"/>
      <c r="M525" s="243"/>
      <c r="N525" s="243"/>
      <c r="O525" s="242">
        <v>223.76</v>
      </c>
    </row>
    <row r="526" spans="1:15" x14ac:dyDescent="0.25">
      <c r="A526" s="241" t="s">
        <v>1436</v>
      </c>
      <c r="B526" s="241" t="s">
        <v>1468</v>
      </c>
      <c r="C526" s="243"/>
      <c r="D526" s="242">
        <v>143.77000000000001</v>
      </c>
      <c r="E526" s="242">
        <v>-20.89</v>
      </c>
      <c r="F526" s="243"/>
      <c r="G526" s="243"/>
      <c r="H526" s="243"/>
      <c r="I526" s="243"/>
      <c r="J526" s="243"/>
      <c r="K526" s="243"/>
      <c r="L526" s="243"/>
      <c r="M526" s="243"/>
      <c r="N526" s="243"/>
      <c r="O526" s="242">
        <v>122.88</v>
      </c>
    </row>
    <row r="527" spans="1:15" x14ac:dyDescent="0.25">
      <c r="A527" s="241" t="s">
        <v>1437</v>
      </c>
      <c r="B527" s="241" t="s">
        <v>1469</v>
      </c>
      <c r="C527" s="243"/>
      <c r="D527" s="242">
        <v>108.86</v>
      </c>
      <c r="E527" s="242">
        <v>-15.82</v>
      </c>
      <c r="F527" s="243"/>
      <c r="G527" s="243"/>
      <c r="H527" s="243"/>
      <c r="I527" s="243"/>
      <c r="J527" s="243"/>
      <c r="K527" s="243"/>
      <c r="L527" s="243"/>
      <c r="M527" s="243"/>
      <c r="N527" s="243"/>
      <c r="O527" s="242">
        <v>93.04</v>
      </c>
    </row>
    <row r="528" spans="1:15" x14ac:dyDescent="0.25">
      <c r="A528" s="241" t="s">
        <v>1422</v>
      </c>
      <c r="B528" s="241" t="s">
        <v>1472</v>
      </c>
      <c r="C528" s="242">
        <v>5440</v>
      </c>
      <c r="D528" s="242">
        <v>1988.73</v>
      </c>
      <c r="E528" s="242">
        <v>1113.52</v>
      </c>
      <c r="F528" s="243"/>
      <c r="G528" s="243"/>
      <c r="H528" s="243"/>
      <c r="I528" s="243"/>
      <c r="J528" s="243"/>
      <c r="K528" s="243"/>
      <c r="L528" s="243"/>
      <c r="M528" s="243"/>
      <c r="N528" s="243"/>
      <c r="O528" s="242">
        <v>8542.25</v>
      </c>
    </row>
    <row r="529" spans="1:15" x14ac:dyDescent="0.25">
      <c r="A529" s="241" t="s">
        <v>1477</v>
      </c>
      <c r="B529" s="241" t="s">
        <v>1484</v>
      </c>
      <c r="C529" s="243"/>
      <c r="D529" s="242">
        <v>1424</v>
      </c>
      <c r="E529" s="242">
        <v>-224</v>
      </c>
      <c r="F529" s="243"/>
      <c r="G529" s="243"/>
      <c r="H529" s="243"/>
      <c r="I529" s="243"/>
      <c r="J529" s="243"/>
      <c r="K529" s="243"/>
      <c r="L529" s="243"/>
      <c r="M529" s="243"/>
      <c r="N529" s="243"/>
      <c r="O529" s="242">
        <v>1200</v>
      </c>
    </row>
    <row r="530" spans="1:15" x14ac:dyDescent="0.25">
      <c r="A530" s="241" t="s">
        <v>1481</v>
      </c>
      <c r="B530" s="241" t="s">
        <v>1485</v>
      </c>
      <c r="C530" s="243"/>
      <c r="D530" s="242">
        <v>14400</v>
      </c>
      <c r="E530" s="242">
        <v>1200</v>
      </c>
      <c r="F530" s="243"/>
      <c r="G530" s="243"/>
      <c r="H530" s="243"/>
      <c r="I530" s="243"/>
      <c r="J530" s="243"/>
      <c r="K530" s="243"/>
      <c r="L530" s="243"/>
      <c r="M530" s="243"/>
      <c r="N530" s="243"/>
      <c r="O530" s="242">
        <v>15600</v>
      </c>
    </row>
    <row r="531" spans="1:15" x14ac:dyDescent="0.25">
      <c r="A531" s="241" t="s">
        <v>1473</v>
      </c>
      <c r="B531" s="241" t="s">
        <v>1441</v>
      </c>
      <c r="C531" s="242">
        <v>691.61</v>
      </c>
      <c r="D531" s="242">
        <v>2971.49</v>
      </c>
      <c r="E531" s="242">
        <v>1880.04</v>
      </c>
      <c r="F531" s="243"/>
      <c r="G531" s="243"/>
      <c r="H531" s="243"/>
      <c r="I531" s="243"/>
      <c r="J531" s="243"/>
      <c r="K531" s="243"/>
      <c r="L531" s="243"/>
      <c r="M531" s="243"/>
      <c r="N531" s="243"/>
      <c r="O531" s="242">
        <v>5543.14</v>
      </c>
    </row>
    <row r="532" spans="1:15" x14ac:dyDescent="0.25">
      <c r="A532" s="241" t="s">
        <v>1474</v>
      </c>
      <c r="B532" s="241" t="s">
        <v>1475</v>
      </c>
      <c r="C532" s="243"/>
      <c r="D532" s="242">
        <v>425</v>
      </c>
      <c r="E532" s="242">
        <v>-413</v>
      </c>
      <c r="F532" s="243"/>
      <c r="G532" s="243"/>
      <c r="H532" s="243"/>
      <c r="I532" s="243"/>
      <c r="J532" s="243"/>
      <c r="K532" s="243"/>
      <c r="L532" s="243"/>
      <c r="M532" s="243"/>
      <c r="N532" s="243"/>
      <c r="O532" s="242">
        <v>12</v>
      </c>
    </row>
    <row r="533" spans="1:15" x14ac:dyDescent="0.25">
      <c r="A533" s="239"/>
      <c r="B533" s="239" t="s">
        <v>1476</v>
      </c>
      <c r="C533" s="245">
        <v>15205.82</v>
      </c>
      <c r="D533" s="245">
        <v>67691.89</v>
      </c>
      <c r="E533" s="245">
        <v>30955.37</v>
      </c>
      <c r="F533" s="240"/>
      <c r="G533" s="240"/>
      <c r="H533" s="240"/>
      <c r="I533" s="240"/>
      <c r="J533" s="240"/>
      <c r="K533" s="240"/>
      <c r="L533" s="240"/>
      <c r="M533" s="240"/>
      <c r="N533" s="240"/>
      <c r="O533" s="245">
        <v>113853.08</v>
      </c>
    </row>
  </sheetData>
  <mergeCells count="6">
    <mergeCell ref="A6:O6"/>
    <mergeCell ref="A1:O1"/>
    <mergeCell ref="A2:O2"/>
    <mergeCell ref="A3:O3"/>
    <mergeCell ref="A4:O4"/>
    <mergeCell ref="A5:O5"/>
  </mergeCells>
  <printOptions horizontalCentered="1"/>
  <pageMargins left="0.25" right="0.25" top="0.25" bottom="0.25" header="0.3" footer="0.3"/>
  <pageSetup scale="65" fitToHeight="0" orientation="landscape" cellComments="atEnd" r:id="rId1"/>
  <customProperties>
    <customPr name="EpmWorksheetKeyString_GUID" r:id="rId2"/>
  </customPropertie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dimension ref="C4:D383"/>
  <sheetViews>
    <sheetView showGridLines="0" workbookViewId="0"/>
  </sheetViews>
  <sheetFormatPr defaultColWidth="9.140625" defaultRowHeight="15" x14ac:dyDescent="0.25"/>
  <cols>
    <col min="1" max="16384" width="9.140625" style="30"/>
  </cols>
  <sheetData>
    <row r="4" spans="3:4" x14ac:dyDescent="0.25">
      <c r="C4" s="30">
        <v>1</v>
      </c>
      <c r="D4" s="30" t="s">
        <v>506</v>
      </c>
    </row>
    <row r="5" spans="3:4" x14ac:dyDescent="0.25">
      <c r="C5" s="30">
        <f>C4+1</f>
        <v>2</v>
      </c>
      <c r="D5" s="30" t="s">
        <v>507</v>
      </c>
    </row>
    <row r="6" spans="3:4" x14ac:dyDescent="0.25">
      <c r="C6" s="30">
        <f t="shared" ref="C6:C51" si="0">C5+1</f>
        <v>3</v>
      </c>
      <c r="D6" s="30" t="s">
        <v>508</v>
      </c>
    </row>
    <row r="7" spans="3:4" x14ac:dyDescent="0.25">
      <c r="C7" s="30">
        <f t="shared" si="0"/>
        <v>4</v>
      </c>
      <c r="D7" s="30" t="s">
        <v>509</v>
      </c>
    </row>
    <row r="8" spans="3:4" x14ac:dyDescent="0.25">
      <c r="C8" s="30">
        <f t="shared" si="0"/>
        <v>5</v>
      </c>
      <c r="D8" s="30" t="s">
        <v>511</v>
      </c>
    </row>
    <row r="9" spans="3:4" x14ac:dyDescent="0.25">
      <c r="C9" s="30">
        <f t="shared" si="0"/>
        <v>6</v>
      </c>
      <c r="D9" s="30" t="s">
        <v>512</v>
      </c>
    </row>
    <row r="10" spans="3:4" x14ac:dyDescent="0.25">
      <c r="C10" s="30">
        <f t="shared" si="0"/>
        <v>7</v>
      </c>
      <c r="D10" s="30" t="s">
        <v>513</v>
      </c>
    </row>
    <row r="11" spans="3:4" x14ac:dyDescent="0.25">
      <c r="C11" s="30">
        <f t="shared" si="0"/>
        <v>8</v>
      </c>
      <c r="D11" s="30" t="s">
        <v>514</v>
      </c>
    </row>
    <row r="12" spans="3:4" x14ac:dyDescent="0.25">
      <c r="C12" s="30">
        <f t="shared" si="0"/>
        <v>9</v>
      </c>
      <c r="D12" s="30" t="s">
        <v>515</v>
      </c>
    </row>
    <row r="13" spans="3:4" x14ac:dyDescent="0.25">
      <c r="C13" s="30">
        <f t="shared" si="0"/>
        <v>10</v>
      </c>
      <c r="D13" s="30" t="s">
        <v>516</v>
      </c>
    </row>
    <row r="14" spans="3:4" x14ac:dyDescent="0.25">
      <c r="C14" s="30">
        <f t="shared" si="0"/>
        <v>11</v>
      </c>
      <c r="D14" s="30" t="s">
        <v>517</v>
      </c>
    </row>
    <row r="15" spans="3:4" x14ac:dyDescent="0.25">
      <c r="C15" s="30">
        <f t="shared" si="0"/>
        <v>12</v>
      </c>
      <c r="D15" s="30" t="s">
        <v>518</v>
      </c>
    </row>
    <row r="16" spans="3:4" x14ac:dyDescent="0.25">
      <c r="C16" s="30">
        <f t="shared" si="0"/>
        <v>13</v>
      </c>
      <c r="D16" s="30" t="s">
        <v>519</v>
      </c>
    </row>
    <row r="17" spans="3:4" x14ac:dyDescent="0.25">
      <c r="C17" s="30">
        <f t="shared" si="0"/>
        <v>14</v>
      </c>
      <c r="D17" s="30" t="s">
        <v>520</v>
      </c>
    </row>
    <row r="18" spans="3:4" x14ac:dyDescent="0.25">
      <c r="C18" s="30">
        <f t="shared" si="0"/>
        <v>15</v>
      </c>
      <c r="D18" s="30" t="s">
        <v>521</v>
      </c>
    </row>
    <row r="19" spans="3:4" x14ac:dyDescent="0.25">
      <c r="C19" s="30">
        <f t="shared" si="0"/>
        <v>16</v>
      </c>
      <c r="D19" s="30" t="s">
        <v>522</v>
      </c>
    </row>
    <row r="20" spans="3:4" x14ac:dyDescent="0.25">
      <c r="C20" s="30">
        <f t="shared" si="0"/>
        <v>17</v>
      </c>
      <c r="D20" s="30" t="s">
        <v>523</v>
      </c>
    </row>
    <row r="21" spans="3:4" x14ac:dyDescent="0.25">
      <c r="C21" s="30">
        <f t="shared" si="0"/>
        <v>18</v>
      </c>
      <c r="D21" s="30" t="s">
        <v>524</v>
      </c>
    </row>
    <row r="22" spans="3:4" x14ac:dyDescent="0.25">
      <c r="C22" s="30">
        <f t="shared" si="0"/>
        <v>19</v>
      </c>
      <c r="D22" s="30" t="s">
        <v>525</v>
      </c>
    </row>
    <row r="23" spans="3:4" x14ac:dyDescent="0.25">
      <c r="C23" s="30">
        <f t="shared" si="0"/>
        <v>20</v>
      </c>
      <c r="D23" s="30" t="s">
        <v>526</v>
      </c>
    </row>
    <row r="24" spans="3:4" x14ac:dyDescent="0.25">
      <c r="C24" s="30">
        <f t="shared" si="0"/>
        <v>21</v>
      </c>
      <c r="D24" s="30" t="s">
        <v>527</v>
      </c>
    </row>
    <row r="25" spans="3:4" x14ac:dyDescent="0.25">
      <c r="C25" s="30">
        <f t="shared" si="0"/>
        <v>22</v>
      </c>
      <c r="D25" s="30" t="s">
        <v>528</v>
      </c>
    </row>
    <row r="26" spans="3:4" x14ac:dyDescent="0.25">
      <c r="C26" s="30">
        <f t="shared" si="0"/>
        <v>23</v>
      </c>
      <c r="D26" s="30" t="s">
        <v>529</v>
      </c>
    </row>
    <row r="27" spans="3:4" x14ac:dyDescent="0.25">
      <c r="C27" s="30">
        <f t="shared" si="0"/>
        <v>24</v>
      </c>
      <c r="D27" s="30" t="s">
        <v>530</v>
      </c>
    </row>
    <row r="28" spans="3:4" x14ac:dyDescent="0.25">
      <c r="C28" s="30">
        <f t="shared" si="0"/>
        <v>25</v>
      </c>
      <c r="D28" s="30" t="s">
        <v>531</v>
      </c>
    </row>
    <row r="29" spans="3:4" x14ac:dyDescent="0.25">
      <c r="C29" s="30">
        <f t="shared" si="0"/>
        <v>26</v>
      </c>
      <c r="D29" s="30" t="s">
        <v>532</v>
      </c>
    </row>
    <row r="30" spans="3:4" x14ac:dyDescent="0.25">
      <c r="C30" s="30">
        <f t="shared" si="0"/>
        <v>27</v>
      </c>
      <c r="D30" s="30" t="s">
        <v>533</v>
      </c>
    </row>
    <row r="31" spans="3:4" x14ac:dyDescent="0.25">
      <c r="C31" s="30">
        <f t="shared" si="0"/>
        <v>28</v>
      </c>
      <c r="D31" s="30" t="s">
        <v>534</v>
      </c>
    </row>
    <row r="32" spans="3:4" x14ac:dyDescent="0.25">
      <c r="C32" s="30">
        <f t="shared" si="0"/>
        <v>29</v>
      </c>
      <c r="D32" s="30" t="s">
        <v>535</v>
      </c>
    </row>
    <row r="33" spans="3:4" x14ac:dyDescent="0.25">
      <c r="C33" s="30">
        <f t="shared" si="0"/>
        <v>30</v>
      </c>
      <c r="D33" s="30" t="s">
        <v>536</v>
      </c>
    </row>
    <row r="34" spans="3:4" x14ac:dyDescent="0.25">
      <c r="C34" s="30">
        <f t="shared" si="0"/>
        <v>31</v>
      </c>
      <c r="D34" s="30" t="s">
        <v>537</v>
      </c>
    </row>
    <row r="35" spans="3:4" x14ac:dyDescent="0.25">
      <c r="C35" s="30">
        <f t="shared" si="0"/>
        <v>32</v>
      </c>
      <c r="D35" s="30" t="s">
        <v>538</v>
      </c>
    </row>
    <row r="36" spans="3:4" x14ac:dyDescent="0.25">
      <c r="C36" s="30">
        <f t="shared" si="0"/>
        <v>33</v>
      </c>
      <c r="D36" s="30" t="s">
        <v>539</v>
      </c>
    </row>
    <row r="37" spans="3:4" x14ac:dyDescent="0.25">
      <c r="C37" s="30">
        <f t="shared" si="0"/>
        <v>34</v>
      </c>
      <c r="D37" s="30" t="s">
        <v>540</v>
      </c>
    </row>
    <row r="38" spans="3:4" x14ac:dyDescent="0.25">
      <c r="C38" s="30">
        <f t="shared" si="0"/>
        <v>35</v>
      </c>
      <c r="D38" s="30" t="s">
        <v>541</v>
      </c>
    </row>
    <row r="39" spans="3:4" x14ac:dyDescent="0.25">
      <c r="C39" s="30">
        <f t="shared" si="0"/>
        <v>36</v>
      </c>
      <c r="D39" s="30" t="s">
        <v>542</v>
      </c>
    </row>
    <row r="40" spans="3:4" x14ac:dyDescent="0.25">
      <c r="C40" s="30">
        <f t="shared" si="0"/>
        <v>37</v>
      </c>
      <c r="D40" s="30" t="s">
        <v>543</v>
      </c>
    </row>
    <row r="41" spans="3:4" x14ac:dyDescent="0.25">
      <c r="C41" s="30">
        <f t="shared" si="0"/>
        <v>38</v>
      </c>
      <c r="D41" s="30" t="s">
        <v>544</v>
      </c>
    </row>
    <row r="42" spans="3:4" x14ac:dyDescent="0.25">
      <c r="C42" s="30">
        <f t="shared" si="0"/>
        <v>39</v>
      </c>
      <c r="D42" s="30" t="s">
        <v>545</v>
      </c>
    </row>
    <row r="43" spans="3:4" x14ac:dyDescent="0.25">
      <c r="C43" s="30">
        <f t="shared" si="0"/>
        <v>40</v>
      </c>
      <c r="D43" s="30" t="s">
        <v>546</v>
      </c>
    </row>
    <row r="44" spans="3:4" x14ac:dyDescent="0.25">
      <c r="C44" s="30">
        <f t="shared" si="0"/>
        <v>41</v>
      </c>
      <c r="D44" s="30" t="s">
        <v>547</v>
      </c>
    </row>
    <row r="45" spans="3:4" x14ac:dyDescent="0.25">
      <c r="C45" s="30">
        <f t="shared" si="0"/>
        <v>42</v>
      </c>
      <c r="D45" s="30" t="s">
        <v>548</v>
      </c>
    </row>
    <row r="46" spans="3:4" x14ac:dyDescent="0.25">
      <c r="C46" s="30">
        <f t="shared" si="0"/>
        <v>43</v>
      </c>
      <c r="D46" s="30" t="s">
        <v>549</v>
      </c>
    </row>
    <row r="47" spans="3:4" x14ac:dyDescent="0.25">
      <c r="C47" s="30">
        <f t="shared" si="0"/>
        <v>44</v>
      </c>
      <c r="D47" s="30" t="s">
        <v>550</v>
      </c>
    </row>
    <row r="48" spans="3:4" x14ac:dyDescent="0.25">
      <c r="C48" s="30">
        <f t="shared" si="0"/>
        <v>45</v>
      </c>
      <c r="D48" s="30" t="s">
        <v>551</v>
      </c>
    </row>
    <row r="49" spans="3:4" x14ac:dyDescent="0.25">
      <c r="C49" s="30">
        <f t="shared" si="0"/>
        <v>46</v>
      </c>
      <c r="D49" s="30" t="s">
        <v>552</v>
      </c>
    </row>
    <row r="50" spans="3:4" x14ac:dyDescent="0.25">
      <c r="C50" s="30">
        <f t="shared" si="0"/>
        <v>47</v>
      </c>
      <c r="D50" s="30" t="s">
        <v>553</v>
      </c>
    </row>
    <row r="51" spans="3:4" x14ac:dyDescent="0.25">
      <c r="C51" s="30">
        <f t="shared" si="0"/>
        <v>48</v>
      </c>
      <c r="D51" s="30" t="s">
        <v>554</v>
      </c>
    </row>
    <row r="52" spans="3:4" x14ac:dyDescent="0.25">
      <c r="D52"/>
    </row>
    <row r="53" spans="3:4" x14ac:dyDescent="0.25">
      <c r="D53"/>
    </row>
    <row r="54" spans="3:4" x14ac:dyDescent="0.25">
      <c r="D54"/>
    </row>
    <row r="55" spans="3:4" x14ac:dyDescent="0.25">
      <c r="D55"/>
    </row>
    <row r="56" spans="3:4" x14ac:dyDescent="0.25">
      <c r="D56"/>
    </row>
    <row r="57" spans="3:4" x14ac:dyDescent="0.25">
      <c r="D57"/>
    </row>
    <row r="58" spans="3:4" x14ac:dyDescent="0.25">
      <c r="D58"/>
    </row>
    <row r="59" spans="3:4" x14ac:dyDescent="0.25">
      <c r="D59"/>
    </row>
    <row r="60" spans="3:4" x14ac:dyDescent="0.25">
      <c r="D60"/>
    </row>
    <row r="61" spans="3:4" x14ac:dyDescent="0.25">
      <c r="D61"/>
    </row>
    <row r="62" spans="3:4" x14ac:dyDescent="0.25">
      <c r="D62"/>
    </row>
    <row r="63" spans="3:4" x14ac:dyDescent="0.25">
      <c r="D63"/>
    </row>
    <row r="64" spans="3:4" x14ac:dyDescent="0.25">
      <c r="D64"/>
    </row>
    <row r="65" spans="4:4" x14ac:dyDescent="0.25">
      <c r="D65"/>
    </row>
    <row r="66" spans="4:4" x14ac:dyDescent="0.25">
      <c r="D66"/>
    </row>
    <row r="67" spans="4:4" x14ac:dyDescent="0.25">
      <c r="D67"/>
    </row>
    <row r="68" spans="4:4" x14ac:dyDescent="0.25">
      <c r="D68"/>
    </row>
    <row r="69" spans="4:4" x14ac:dyDescent="0.25">
      <c r="D69"/>
    </row>
    <row r="70" spans="4:4" x14ac:dyDescent="0.25">
      <c r="D70"/>
    </row>
    <row r="71" spans="4:4" x14ac:dyDescent="0.25">
      <c r="D71"/>
    </row>
    <row r="72" spans="4:4" x14ac:dyDescent="0.25">
      <c r="D72"/>
    </row>
    <row r="73" spans="4:4" x14ac:dyDescent="0.25">
      <c r="D73"/>
    </row>
    <row r="74" spans="4:4" x14ac:dyDescent="0.25">
      <c r="D74"/>
    </row>
    <row r="75" spans="4:4" x14ac:dyDescent="0.25">
      <c r="D75"/>
    </row>
    <row r="76" spans="4:4" x14ac:dyDescent="0.25">
      <c r="D76"/>
    </row>
    <row r="77" spans="4:4" x14ac:dyDescent="0.25">
      <c r="D77"/>
    </row>
    <row r="78" spans="4:4" x14ac:dyDescent="0.25">
      <c r="D78"/>
    </row>
    <row r="79" spans="4:4" x14ac:dyDescent="0.25">
      <c r="D79"/>
    </row>
    <row r="80" spans="4:4" x14ac:dyDescent="0.25">
      <c r="D80"/>
    </row>
    <row r="81" spans="4:4" x14ac:dyDescent="0.25">
      <c r="D81"/>
    </row>
    <row r="82" spans="4:4" x14ac:dyDescent="0.25">
      <c r="D82"/>
    </row>
    <row r="83" spans="4:4" x14ac:dyDescent="0.25">
      <c r="D83"/>
    </row>
    <row r="84" spans="4:4" x14ac:dyDescent="0.25">
      <c r="D84"/>
    </row>
    <row r="85" spans="4:4" x14ac:dyDescent="0.25">
      <c r="D85"/>
    </row>
    <row r="86" spans="4:4" x14ac:dyDescent="0.25">
      <c r="D86"/>
    </row>
    <row r="87" spans="4:4" x14ac:dyDescent="0.25">
      <c r="D87"/>
    </row>
    <row r="88" spans="4:4" x14ac:dyDescent="0.25">
      <c r="D88"/>
    </row>
    <row r="89" spans="4:4" x14ac:dyDescent="0.25">
      <c r="D89"/>
    </row>
    <row r="90" spans="4:4" x14ac:dyDescent="0.25">
      <c r="D90"/>
    </row>
    <row r="91" spans="4:4" x14ac:dyDescent="0.25">
      <c r="D91"/>
    </row>
    <row r="92" spans="4:4" x14ac:dyDescent="0.25">
      <c r="D92"/>
    </row>
    <row r="93" spans="4:4" x14ac:dyDescent="0.25">
      <c r="D93"/>
    </row>
    <row r="94" spans="4:4" x14ac:dyDescent="0.25">
      <c r="D94"/>
    </row>
    <row r="95" spans="4:4" x14ac:dyDescent="0.25">
      <c r="D95"/>
    </row>
    <row r="96" spans="4:4" x14ac:dyDescent="0.25">
      <c r="D96"/>
    </row>
    <row r="97" spans="4:4" x14ac:dyDescent="0.25">
      <c r="D97"/>
    </row>
    <row r="98" spans="4:4" x14ac:dyDescent="0.25">
      <c r="D98"/>
    </row>
    <row r="99" spans="4:4" x14ac:dyDescent="0.25">
      <c r="D99"/>
    </row>
    <row r="100" spans="4:4" x14ac:dyDescent="0.25">
      <c r="D100"/>
    </row>
    <row r="101" spans="4:4" x14ac:dyDescent="0.25">
      <c r="D101"/>
    </row>
    <row r="102" spans="4:4" x14ac:dyDescent="0.25">
      <c r="D102"/>
    </row>
    <row r="103" spans="4:4" x14ac:dyDescent="0.25">
      <c r="D103"/>
    </row>
    <row r="104" spans="4:4" x14ac:dyDescent="0.25">
      <c r="D104"/>
    </row>
    <row r="105" spans="4:4" x14ac:dyDescent="0.25">
      <c r="D105"/>
    </row>
    <row r="106" spans="4:4" x14ac:dyDescent="0.25">
      <c r="D106"/>
    </row>
    <row r="107" spans="4:4" x14ac:dyDescent="0.25">
      <c r="D107"/>
    </row>
    <row r="108" spans="4:4" x14ac:dyDescent="0.25">
      <c r="D108"/>
    </row>
    <row r="109" spans="4:4" x14ac:dyDescent="0.25">
      <c r="D109"/>
    </row>
    <row r="110" spans="4:4" x14ac:dyDescent="0.25">
      <c r="D110"/>
    </row>
    <row r="111" spans="4:4" x14ac:dyDescent="0.25">
      <c r="D111"/>
    </row>
    <row r="112" spans="4:4" x14ac:dyDescent="0.25">
      <c r="D112"/>
    </row>
    <row r="113" spans="4:4" x14ac:dyDescent="0.25">
      <c r="D113"/>
    </row>
    <row r="114" spans="4:4" x14ac:dyDescent="0.25">
      <c r="D114"/>
    </row>
    <row r="115" spans="4:4" x14ac:dyDescent="0.25">
      <c r="D115"/>
    </row>
    <row r="116" spans="4:4" x14ac:dyDescent="0.25">
      <c r="D116"/>
    </row>
    <row r="117" spans="4:4" x14ac:dyDescent="0.25">
      <c r="D117"/>
    </row>
    <row r="118" spans="4:4" x14ac:dyDescent="0.25">
      <c r="D118"/>
    </row>
    <row r="119" spans="4:4" x14ac:dyDescent="0.25">
      <c r="D119"/>
    </row>
    <row r="120" spans="4:4" x14ac:dyDescent="0.25">
      <c r="D120"/>
    </row>
    <row r="121" spans="4:4" x14ac:dyDescent="0.25">
      <c r="D121"/>
    </row>
    <row r="122" spans="4:4" x14ac:dyDescent="0.25">
      <c r="D122"/>
    </row>
    <row r="123" spans="4:4" x14ac:dyDescent="0.25">
      <c r="D123"/>
    </row>
    <row r="124" spans="4:4" x14ac:dyDescent="0.25">
      <c r="D124"/>
    </row>
    <row r="125" spans="4:4" x14ac:dyDescent="0.25">
      <c r="D125"/>
    </row>
    <row r="126" spans="4:4" x14ac:dyDescent="0.25">
      <c r="D126"/>
    </row>
    <row r="127" spans="4:4" x14ac:dyDescent="0.25">
      <c r="D127"/>
    </row>
    <row r="128" spans="4:4" x14ac:dyDescent="0.25">
      <c r="D128"/>
    </row>
    <row r="129" spans="4:4" x14ac:dyDescent="0.25">
      <c r="D129"/>
    </row>
    <row r="130" spans="4:4" x14ac:dyDescent="0.25">
      <c r="D130"/>
    </row>
    <row r="131" spans="4:4" x14ac:dyDescent="0.25">
      <c r="D131"/>
    </row>
    <row r="132" spans="4:4" x14ac:dyDescent="0.25">
      <c r="D132"/>
    </row>
    <row r="133" spans="4:4" x14ac:dyDescent="0.25">
      <c r="D133"/>
    </row>
    <row r="134" spans="4:4" x14ac:dyDescent="0.25">
      <c r="D134"/>
    </row>
    <row r="135" spans="4:4" x14ac:dyDescent="0.25">
      <c r="D135"/>
    </row>
    <row r="136" spans="4:4" x14ac:dyDescent="0.25">
      <c r="D136"/>
    </row>
    <row r="137" spans="4:4" x14ac:dyDescent="0.25">
      <c r="D137"/>
    </row>
    <row r="138" spans="4:4" x14ac:dyDescent="0.25">
      <c r="D138"/>
    </row>
    <row r="139" spans="4:4" x14ac:dyDescent="0.25">
      <c r="D139"/>
    </row>
    <row r="140" spans="4:4" x14ac:dyDescent="0.25">
      <c r="D140"/>
    </row>
    <row r="141" spans="4:4" x14ac:dyDescent="0.25">
      <c r="D141"/>
    </row>
    <row r="142" spans="4:4" x14ac:dyDescent="0.25">
      <c r="D142"/>
    </row>
    <row r="143" spans="4:4" x14ac:dyDescent="0.25">
      <c r="D143"/>
    </row>
    <row r="144" spans="4:4" x14ac:dyDescent="0.25">
      <c r="D144"/>
    </row>
    <row r="145" spans="4:4" x14ac:dyDescent="0.25">
      <c r="D145"/>
    </row>
    <row r="146" spans="4:4" x14ac:dyDescent="0.25">
      <c r="D146"/>
    </row>
    <row r="147" spans="4:4" x14ac:dyDescent="0.25">
      <c r="D147"/>
    </row>
    <row r="148" spans="4:4" x14ac:dyDescent="0.25">
      <c r="D148"/>
    </row>
    <row r="149" spans="4:4" x14ac:dyDescent="0.25">
      <c r="D149"/>
    </row>
    <row r="150" spans="4:4" x14ac:dyDescent="0.25">
      <c r="D150"/>
    </row>
    <row r="151" spans="4:4" x14ac:dyDescent="0.25">
      <c r="D151"/>
    </row>
    <row r="152" spans="4:4" x14ac:dyDescent="0.25">
      <c r="D152"/>
    </row>
    <row r="153" spans="4:4" x14ac:dyDescent="0.25">
      <c r="D153"/>
    </row>
    <row r="154" spans="4:4" x14ac:dyDescent="0.25">
      <c r="D154"/>
    </row>
    <row r="155" spans="4:4" x14ac:dyDescent="0.25">
      <c r="D155"/>
    </row>
    <row r="156" spans="4:4" x14ac:dyDescent="0.25">
      <c r="D156"/>
    </row>
    <row r="157" spans="4:4" x14ac:dyDescent="0.25">
      <c r="D157"/>
    </row>
    <row r="158" spans="4:4" x14ac:dyDescent="0.25">
      <c r="D158"/>
    </row>
    <row r="159" spans="4:4" x14ac:dyDescent="0.25">
      <c r="D159"/>
    </row>
    <row r="160" spans="4:4" x14ac:dyDescent="0.25">
      <c r="D160"/>
    </row>
    <row r="161" spans="4:4" x14ac:dyDescent="0.25">
      <c r="D161"/>
    </row>
    <row r="162" spans="4:4" x14ac:dyDescent="0.25">
      <c r="D162"/>
    </row>
    <row r="163" spans="4:4" x14ac:dyDescent="0.25">
      <c r="D163"/>
    </row>
    <row r="164" spans="4:4" x14ac:dyDescent="0.25">
      <c r="D164"/>
    </row>
    <row r="165" spans="4:4" x14ac:dyDescent="0.25">
      <c r="D165"/>
    </row>
    <row r="166" spans="4:4" x14ac:dyDescent="0.25">
      <c r="D166"/>
    </row>
    <row r="167" spans="4:4" x14ac:dyDescent="0.25">
      <c r="D167"/>
    </row>
    <row r="168" spans="4:4" x14ac:dyDescent="0.25">
      <c r="D168"/>
    </row>
    <row r="169" spans="4:4" x14ac:dyDescent="0.25">
      <c r="D169"/>
    </row>
    <row r="170" spans="4:4" x14ac:dyDescent="0.25">
      <c r="D170"/>
    </row>
    <row r="171" spans="4:4" x14ac:dyDescent="0.25">
      <c r="D171"/>
    </row>
    <row r="172" spans="4:4" x14ac:dyDescent="0.25">
      <c r="D172"/>
    </row>
    <row r="173" spans="4:4" x14ac:dyDescent="0.25">
      <c r="D173"/>
    </row>
    <row r="174" spans="4:4" x14ac:dyDescent="0.25">
      <c r="D174"/>
    </row>
    <row r="175" spans="4:4" x14ac:dyDescent="0.25">
      <c r="D175"/>
    </row>
    <row r="176" spans="4:4" x14ac:dyDescent="0.25">
      <c r="D176"/>
    </row>
    <row r="177" spans="4:4" x14ac:dyDescent="0.25">
      <c r="D177"/>
    </row>
    <row r="178" spans="4:4" x14ac:dyDescent="0.25">
      <c r="D178"/>
    </row>
    <row r="179" spans="4:4" x14ac:dyDescent="0.25">
      <c r="D179"/>
    </row>
    <row r="180" spans="4:4" x14ac:dyDescent="0.25">
      <c r="D180"/>
    </row>
    <row r="181" spans="4:4" x14ac:dyDescent="0.25">
      <c r="D181"/>
    </row>
    <row r="182" spans="4:4" x14ac:dyDescent="0.25">
      <c r="D182"/>
    </row>
    <row r="183" spans="4:4" x14ac:dyDescent="0.25">
      <c r="D183"/>
    </row>
    <row r="184" spans="4:4" x14ac:dyDescent="0.25">
      <c r="D184"/>
    </row>
    <row r="185" spans="4:4" x14ac:dyDescent="0.25">
      <c r="D185"/>
    </row>
    <row r="186" spans="4:4" x14ac:dyDescent="0.25">
      <c r="D186"/>
    </row>
    <row r="187" spans="4:4" x14ac:dyDescent="0.25">
      <c r="D187"/>
    </row>
    <row r="188" spans="4:4" x14ac:dyDescent="0.25">
      <c r="D188"/>
    </row>
    <row r="189" spans="4:4" x14ac:dyDescent="0.25">
      <c r="D189"/>
    </row>
    <row r="190" spans="4:4" x14ac:dyDescent="0.25">
      <c r="D190"/>
    </row>
    <row r="191" spans="4:4" x14ac:dyDescent="0.25">
      <c r="D191"/>
    </row>
    <row r="192" spans="4:4" x14ac:dyDescent="0.25">
      <c r="D192"/>
    </row>
    <row r="193" spans="4:4" x14ac:dyDescent="0.25">
      <c r="D193"/>
    </row>
    <row r="194" spans="4:4" x14ac:dyDescent="0.25">
      <c r="D194"/>
    </row>
    <row r="195" spans="4:4" x14ac:dyDescent="0.25">
      <c r="D195"/>
    </row>
    <row r="196" spans="4:4" x14ac:dyDescent="0.25">
      <c r="D196"/>
    </row>
    <row r="197" spans="4:4" x14ac:dyDescent="0.25">
      <c r="D197"/>
    </row>
    <row r="198" spans="4:4" x14ac:dyDescent="0.25">
      <c r="D198"/>
    </row>
    <row r="199" spans="4:4" x14ac:dyDescent="0.25">
      <c r="D199"/>
    </row>
    <row r="200" spans="4:4" x14ac:dyDescent="0.25">
      <c r="D200"/>
    </row>
    <row r="201" spans="4:4" x14ac:dyDescent="0.25">
      <c r="D201"/>
    </row>
    <row r="202" spans="4:4" x14ac:dyDescent="0.25">
      <c r="D202"/>
    </row>
    <row r="203" spans="4:4" x14ac:dyDescent="0.25">
      <c r="D203"/>
    </row>
    <row r="204" spans="4:4" x14ac:dyDescent="0.25">
      <c r="D204"/>
    </row>
    <row r="205" spans="4:4" x14ac:dyDescent="0.25">
      <c r="D205"/>
    </row>
    <row r="206" spans="4:4" x14ac:dyDescent="0.25">
      <c r="D206"/>
    </row>
    <row r="207" spans="4:4" x14ac:dyDescent="0.25">
      <c r="D207"/>
    </row>
    <row r="208" spans="4:4" x14ac:dyDescent="0.25">
      <c r="D208"/>
    </row>
    <row r="209" spans="4:4" x14ac:dyDescent="0.25">
      <c r="D209"/>
    </row>
    <row r="210" spans="4:4" x14ac:dyDescent="0.25">
      <c r="D210"/>
    </row>
    <row r="211" spans="4:4" x14ac:dyDescent="0.25">
      <c r="D211"/>
    </row>
    <row r="212" spans="4:4" x14ac:dyDescent="0.25">
      <c r="D212"/>
    </row>
    <row r="213" spans="4:4" x14ac:dyDescent="0.25">
      <c r="D213"/>
    </row>
    <row r="214" spans="4:4" x14ac:dyDescent="0.25">
      <c r="D214"/>
    </row>
    <row r="215" spans="4:4" x14ac:dyDescent="0.25">
      <c r="D215"/>
    </row>
    <row r="216" spans="4:4" x14ac:dyDescent="0.25">
      <c r="D216"/>
    </row>
    <row r="217" spans="4:4" x14ac:dyDescent="0.25">
      <c r="D217"/>
    </row>
    <row r="218" spans="4:4" x14ac:dyDescent="0.25">
      <c r="D218"/>
    </row>
    <row r="219" spans="4:4" x14ac:dyDescent="0.25">
      <c r="D219"/>
    </row>
    <row r="220" spans="4:4" x14ac:dyDescent="0.25">
      <c r="D220"/>
    </row>
    <row r="221" spans="4:4" x14ac:dyDescent="0.25">
      <c r="D221"/>
    </row>
    <row r="222" spans="4:4" x14ac:dyDescent="0.25">
      <c r="D222"/>
    </row>
    <row r="223" spans="4:4" x14ac:dyDescent="0.25">
      <c r="D223"/>
    </row>
    <row r="224" spans="4:4" x14ac:dyDescent="0.25">
      <c r="D224"/>
    </row>
    <row r="225" spans="4:4" x14ac:dyDescent="0.25">
      <c r="D225"/>
    </row>
    <row r="226" spans="4:4" x14ac:dyDescent="0.25">
      <c r="D226"/>
    </row>
    <row r="227" spans="4:4" x14ac:dyDescent="0.25">
      <c r="D227"/>
    </row>
    <row r="228" spans="4:4" x14ac:dyDescent="0.25">
      <c r="D228"/>
    </row>
    <row r="229" spans="4:4" x14ac:dyDescent="0.25">
      <c r="D229"/>
    </row>
    <row r="230" spans="4:4" x14ac:dyDescent="0.25">
      <c r="D230"/>
    </row>
    <row r="231" spans="4:4" x14ac:dyDescent="0.25">
      <c r="D231"/>
    </row>
    <row r="232" spans="4:4" x14ac:dyDescent="0.25">
      <c r="D232"/>
    </row>
    <row r="233" spans="4:4" x14ac:dyDescent="0.25">
      <c r="D233"/>
    </row>
    <row r="234" spans="4:4" x14ac:dyDescent="0.25">
      <c r="D234"/>
    </row>
    <row r="235" spans="4:4" x14ac:dyDescent="0.25">
      <c r="D235"/>
    </row>
    <row r="236" spans="4:4" x14ac:dyDescent="0.25">
      <c r="D236"/>
    </row>
    <row r="237" spans="4:4" x14ac:dyDescent="0.25">
      <c r="D237"/>
    </row>
    <row r="238" spans="4:4" x14ac:dyDescent="0.25">
      <c r="D238"/>
    </row>
    <row r="239" spans="4:4" x14ac:dyDescent="0.25">
      <c r="D239"/>
    </row>
    <row r="240" spans="4:4" x14ac:dyDescent="0.25">
      <c r="D240"/>
    </row>
    <row r="241" spans="4:4" x14ac:dyDescent="0.25">
      <c r="D241"/>
    </row>
    <row r="242" spans="4:4" x14ac:dyDescent="0.25">
      <c r="D242"/>
    </row>
    <row r="243" spans="4:4" x14ac:dyDescent="0.25">
      <c r="D243"/>
    </row>
    <row r="244" spans="4:4" x14ac:dyDescent="0.25">
      <c r="D244"/>
    </row>
    <row r="245" spans="4:4" x14ac:dyDescent="0.25">
      <c r="D245"/>
    </row>
    <row r="246" spans="4:4" x14ac:dyDescent="0.25">
      <c r="D246"/>
    </row>
    <row r="247" spans="4:4" x14ac:dyDescent="0.25">
      <c r="D247"/>
    </row>
    <row r="248" spans="4:4" x14ac:dyDescent="0.25">
      <c r="D248"/>
    </row>
    <row r="249" spans="4:4" x14ac:dyDescent="0.25">
      <c r="D249"/>
    </row>
    <row r="250" spans="4:4" x14ac:dyDescent="0.25">
      <c r="D250"/>
    </row>
    <row r="251" spans="4:4" x14ac:dyDescent="0.25">
      <c r="D251"/>
    </row>
    <row r="252" spans="4:4" x14ac:dyDescent="0.25">
      <c r="D252"/>
    </row>
    <row r="253" spans="4:4" x14ac:dyDescent="0.25">
      <c r="D253"/>
    </row>
    <row r="254" spans="4:4" x14ac:dyDescent="0.25">
      <c r="D254"/>
    </row>
    <row r="255" spans="4:4" x14ac:dyDescent="0.25">
      <c r="D255"/>
    </row>
    <row r="256" spans="4:4" x14ac:dyDescent="0.25">
      <c r="D256"/>
    </row>
    <row r="257" spans="4:4" x14ac:dyDescent="0.25">
      <c r="D257"/>
    </row>
    <row r="258" spans="4:4" x14ac:dyDescent="0.25">
      <c r="D258"/>
    </row>
    <row r="259" spans="4:4" x14ac:dyDescent="0.25">
      <c r="D259"/>
    </row>
    <row r="260" spans="4:4" x14ac:dyDescent="0.25">
      <c r="D260"/>
    </row>
    <row r="261" spans="4:4" x14ac:dyDescent="0.25">
      <c r="D261"/>
    </row>
    <row r="262" spans="4:4" x14ac:dyDescent="0.25">
      <c r="D262"/>
    </row>
    <row r="263" spans="4:4" x14ac:dyDescent="0.25">
      <c r="D263"/>
    </row>
    <row r="264" spans="4:4" x14ac:dyDescent="0.25">
      <c r="D264"/>
    </row>
    <row r="265" spans="4:4" x14ac:dyDescent="0.25">
      <c r="D265"/>
    </row>
    <row r="266" spans="4:4" x14ac:dyDescent="0.25">
      <c r="D266"/>
    </row>
    <row r="267" spans="4:4" x14ac:dyDescent="0.25">
      <c r="D267"/>
    </row>
    <row r="268" spans="4:4" x14ac:dyDescent="0.25">
      <c r="D268"/>
    </row>
    <row r="269" spans="4:4" x14ac:dyDescent="0.25">
      <c r="D269"/>
    </row>
    <row r="270" spans="4:4" x14ac:dyDescent="0.25">
      <c r="D270"/>
    </row>
    <row r="271" spans="4:4" x14ac:dyDescent="0.25">
      <c r="D271"/>
    </row>
    <row r="272" spans="4:4" x14ac:dyDescent="0.25">
      <c r="D272"/>
    </row>
    <row r="273" spans="4:4" x14ac:dyDescent="0.25">
      <c r="D273"/>
    </row>
    <row r="274" spans="4:4" x14ac:dyDescent="0.25">
      <c r="D274"/>
    </row>
    <row r="275" spans="4:4" x14ac:dyDescent="0.25">
      <c r="D275"/>
    </row>
    <row r="276" spans="4:4" x14ac:dyDescent="0.25">
      <c r="D276"/>
    </row>
    <row r="277" spans="4:4" x14ac:dyDescent="0.25">
      <c r="D277"/>
    </row>
    <row r="278" spans="4:4" x14ac:dyDescent="0.25">
      <c r="D278"/>
    </row>
    <row r="279" spans="4:4" x14ac:dyDescent="0.25">
      <c r="D279"/>
    </row>
    <row r="280" spans="4:4" x14ac:dyDescent="0.25">
      <c r="D280"/>
    </row>
    <row r="281" spans="4:4" x14ac:dyDescent="0.25">
      <c r="D281"/>
    </row>
    <row r="282" spans="4:4" x14ac:dyDescent="0.25">
      <c r="D282"/>
    </row>
    <row r="283" spans="4:4" x14ac:dyDescent="0.25">
      <c r="D283"/>
    </row>
    <row r="284" spans="4:4" x14ac:dyDescent="0.25">
      <c r="D284"/>
    </row>
    <row r="285" spans="4:4" x14ac:dyDescent="0.25">
      <c r="D285"/>
    </row>
    <row r="286" spans="4:4" x14ac:dyDescent="0.25">
      <c r="D286"/>
    </row>
    <row r="287" spans="4:4" x14ac:dyDescent="0.25">
      <c r="D287"/>
    </row>
    <row r="288" spans="4:4" x14ac:dyDescent="0.25">
      <c r="D288"/>
    </row>
    <row r="289" spans="4:4" x14ac:dyDescent="0.25">
      <c r="D289"/>
    </row>
    <row r="290" spans="4:4" x14ac:dyDescent="0.25">
      <c r="D290"/>
    </row>
    <row r="291" spans="4:4" x14ac:dyDescent="0.25">
      <c r="D291"/>
    </row>
    <row r="292" spans="4:4" x14ac:dyDescent="0.25">
      <c r="D292"/>
    </row>
    <row r="293" spans="4:4" x14ac:dyDescent="0.25">
      <c r="D293"/>
    </row>
    <row r="294" spans="4:4" x14ac:dyDescent="0.25">
      <c r="D294"/>
    </row>
    <row r="295" spans="4:4" x14ac:dyDescent="0.25">
      <c r="D295"/>
    </row>
    <row r="296" spans="4:4" x14ac:dyDescent="0.25">
      <c r="D296"/>
    </row>
    <row r="297" spans="4:4" x14ac:dyDescent="0.25">
      <c r="D297"/>
    </row>
    <row r="298" spans="4:4" x14ac:dyDescent="0.25">
      <c r="D298"/>
    </row>
    <row r="299" spans="4:4" x14ac:dyDescent="0.25">
      <c r="D299"/>
    </row>
    <row r="300" spans="4:4" x14ac:dyDescent="0.25">
      <c r="D300"/>
    </row>
    <row r="301" spans="4:4" x14ac:dyDescent="0.25">
      <c r="D301"/>
    </row>
    <row r="302" spans="4:4" x14ac:dyDescent="0.25">
      <c r="D302"/>
    </row>
    <row r="303" spans="4:4" x14ac:dyDescent="0.25">
      <c r="D303"/>
    </row>
    <row r="304" spans="4:4" x14ac:dyDescent="0.25">
      <c r="D304"/>
    </row>
    <row r="305" spans="4:4" x14ac:dyDescent="0.25">
      <c r="D305"/>
    </row>
    <row r="306" spans="4:4" x14ac:dyDescent="0.25">
      <c r="D306"/>
    </row>
    <row r="307" spans="4:4" x14ac:dyDescent="0.25">
      <c r="D307"/>
    </row>
    <row r="308" spans="4:4" x14ac:dyDescent="0.25">
      <c r="D308"/>
    </row>
    <row r="309" spans="4:4" x14ac:dyDescent="0.25">
      <c r="D309"/>
    </row>
    <row r="310" spans="4:4" x14ac:dyDescent="0.25">
      <c r="D310"/>
    </row>
    <row r="311" spans="4:4" x14ac:dyDescent="0.25">
      <c r="D311"/>
    </row>
    <row r="312" spans="4:4" x14ac:dyDescent="0.25">
      <c r="D312"/>
    </row>
    <row r="313" spans="4:4" x14ac:dyDescent="0.25">
      <c r="D313"/>
    </row>
    <row r="314" spans="4:4" x14ac:dyDescent="0.25">
      <c r="D314"/>
    </row>
    <row r="315" spans="4:4" x14ac:dyDescent="0.25">
      <c r="D315"/>
    </row>
    <row r="316" spans="4:4" x14ac:dyDescent="0.25">
      <c r="D316"/>
    </row>
    <row r="317" spans="4:4" x14ac:dyDescent="0.25">
      <c r="D317"/>
    </row>
    <row r="318" spans="4:4" x14ac:dyDescent="0.25">
      <c r="D318"/>
    </row>
    <row r="319" spans="4:4" x14ac:dyDescent="0.25">
      <c r="D319"/>
    </row>
    <row r="320" spans="4:4" x14ac:dyDescent="0.25">
      <c r="D320"/>
    </row>
    <row r="321" spans="4:4" x14ac:dyDescent="0.25">
      <c r="D321"/>
    </row>
    <row r="322" spans="4:4" x14ac:dyDescent="0.25">
      <c r="D322"/>
    </row>
    <row r="323" spans="4:4" x14ac:dyDescent="0.25">
      <c r="D323"/>
    </row>
    <row r="324" spans="4:4" x14ac:dyDescent="0.25">
      <c r="D324"/>
    </row>
    <row r="325" spans="4:4" x14ac:dyDescent="0.25">
      <c r="D325"/>
    </row>
    <row r="326" spans="4:4" x14ac:dyDescent="0.25">
      <c r="D326"/>
    </row>
    <row r="327" spans="4:4" x14ac:dyDescent="0.25">
      <c r="D327"/>
    </row>
    <row r="328" spans="4:4" x14ac:dyDescent="0.25">
      <c r="D328"/>
    </row>
    <row r="329" spans="4:4" x14ac:dyDescent="0.25">
      <c r="D329"/>
    </row>
    <row r="330" spans="4:4" x14ac:dyDescent="0.25">
      <c r="D330"/>
    </row>
    <row r="331" spans="4:4" x14ac:dyDescent="0.25">
      <c r="D331"/>
    </row>
    <row r="332" spans="4:4" x14ac:dyDescent="0.25">
      <c r="D332"/>
    </row>
    <row r="333" spans="4:4" x14ac:dyDescent="0.25">
      <c r="D333"/>
    </row>
    <row r="334" spans="4:4" x14ac:dyDescent="0.25">
      <c r="D334"/>
    </row>
    <row r="335" spans="4:4" x14ac:dyDescent="0.25">
      <c r="D335"/>
    </row>
    <row r="336" spans="4:4" x14ac:dyDescent="0.25">
      <c r="D336"/>
    </row>
    <row r="337" spans="4:4" x14ac:dyDescent="0.25">
      <c r="D337"/>
    </row>
    <row r="338" spans="4:4" x14ac:dyDescent="0.25">
      <c r="D338"/>
    </row>
    <row r="339" spans="4:4" x14ac:dyDescent="0.25">
      <c r="D339"/>
    </row>
    <row r="340" spans="4:4" x14ac:dyDescent="0.25">
      <c r="D340"/>
    </row>
    <row r="341" spans="4:4" x14ac:dyDescent="0.25">
      <c r="D341"/>
    </row>
    <row r="342" spans="4:4" x14ac:dyDescent="0.25">
      <c r="D342"/>
    </row>
    <row r="343" spans="4:4" x14ac:dyDescent="0.25">
      <c r="D343"/>
    </row>
    <row r="344" spans="4:4" x14ac:dyDescent="0.25">
      <c r="D344"/>
    </row>
    <row r="345" spans="4:4" x14ac:dyDescent="0.25">
      <c r="D345"/>
    </row>
    <row r="346" spans="4:4" x14ac:dyDescent="0.25">
      <c r="D346"/>
    </row>
    <row r="347" spans="4:4" x14ac:dyDescent="0.25">
      <c r="D347"/>
    </row>
    <row r="348" spans="4:4" x14ac:dyDescent="0.25">
      <c r="D348"/>
    </row>
    <row r="349" spans="4:4" x14ac:dyDescent="0.25">
      <c r="D349"/>
    </row>
    <row r="350" spans="4:4" x14ac:dyDescent="0.25">
      <c r="D350"/>
    </row>
    <row r="351" spans="4:4" x14ac:dyDescent="0.25">
      <c r="D351"/>
    </row>
    <row r="352" spans="4:4" x14ac:dyDescent="0.25">
      <c r="D352"/>
    </row>
    <row r="353" spans="4:4" x14ac:dyDescent="0.25">
      <c r="D353"/>
    </row>
    <row r="354" spans="4:4" x14ac:dyDescent="0.25">
      <c r="D354"/>
    </row>
    <row r="355" spans="4:4" x14ac:dyDescent="0.25">
      <c r="D355"/>
    </row>
    <row r="356" spans="4:4" x14ac:dyDescent="0.25">
      <c r="D356"/>
    </row>
    <row r="357" spans="4:4" x14ac:dyDescent="0.25">
      <c r="D357"/>
    </row>
    <row r="358" spans="4:4" x14ac:dyDescent="0.25">
      <c r="D358"/>
    </row>
    <row r="359" spans="4:4" x14ac:dyDescent="0.25">
      <c r="D359"/>
    </row>
    <row r="360" spans="4:4" x14ac:dyDescent="0.25">
      <c r="D360"/>
    </row>
    <row r="361" spans="4:4" x14ac:dyDescent="0.25">
      <c r="D361"/>
    </row>
    <row r="362" spans="4:4" x14ac:dyDescent="0.25">
      <c r="D362"/>
    </row>
    <row r="363" spans="4:4" x14ac:dyDescent="0.25">
      <c r="D363"/>
    </row>
    <row r="364" spans="4:4" x14ac:dyDescent="0.25">
      <c r="D364"/>
    </row>
    <row r="365" spans="4:4" x14ac:dyDescent="0.25">
      <c r="D365"/>
    </row>
    <row r="366" spans="4:4" x14ac:dyDescent="0.25">
      <c r="D366"/>
    </row>
    <row r="367" spans="4:4" x14ac:dyDescent="0.25">
      <c r="D367"/>
    </row>
    <row r="368" spans="4:4" x14ac:dyDescent="0.25">
      <c r="D368"/>
    </row>
    <row r="369" spans="4:4" x14ac:dyDescent="0.25">
      <c r="D369"/>
    </row>
    <row r="370" spans="4:4" x14ac:dyDescent="0.25">
      <c r="D370"/>
    </row>
    <row r="371" spans="4:4" x14ac:dyDescent="0.25">
      <c r="D371"/>
    </row>
    <row r="372" spans="4:4" x14ac:dyDescent="0.25">
      <c r="D372"/>
    </row>
    <row r="373" spans="4:4" x14ac:dyDescent="0.25">
      <c r="D373"/>
    </row>
    <row r="374" spans="4:4" x14ac:dyDescent="0.25">
      <c r="D374"/>
    </row>
    <row r="375" spans="4:4" x14ac:dyDescent="0.25">
      <c r="D375"/>
    </row>
    <row r="376" spans="4:4" x14ac:dyDescent="0.25">
      <c r="D376"/>
    </row>
    <row r="377" spans="4:4" x14ac:dyDescent="0.25">
      <c r="D377"/>
    </row>
    <row r="378" spans="4:4" x14ac:dyDescent="0.25">
      <c r="D378"/>
    </row>
    <row r="379" spans="4:4" x14ac:dyDescent="0.25">
      <c r="D379"/>
    </row>
    <row r="380" spans="4:4" x14ac:dyDescent="0.25">
      <c r="D380"/>
    </row>
    <row r="381" spans="4:4" x14ac:dyDescent="0.25">
      <c r="D381"/>
    </row>
    <row r="382" spans="4:4" x14ac:dyDescent="0.25">
      <c r="D382"/>
    </row>
    <row r="383" spans="4:4" x14ac:dyDescent="0.25">
      <c r="D383"/>
    </row>
  </sheetData>
  <sortState ref="K4:K17">
    <sortCondition ref="K4:K17"/>
  </sortState>
  <pageMargins left="0.7" right="0.7" top="0.75" bottom="0.75" header="0.3" footer="0.3"/>
  <customProperties>
    <customPr name="EpmWorksheetKeyString_GUID" r:id="rId1"/>
    <customPr name="FPMExcelClientCellBasedFunctionStatus" r:id="rId2"/>
    <customPr name="FPMExcelClientRefreshTime" r:id="rId3"/>
  </customProperties>
  <drawing r:id="rId4"/>
  <legacyDrawing r:id="rId5"/>
  <controls>
    <mc:AlternateContent xmlns:mc="http://schemas.openxmlformats.org/markup-compatibility/2006">
      <mc:Choice Requires="x14">
        <control shapeId="12289" r:id="rId6" name="FPMExcelClientSheetOptionstb1">
          <controlPr defaultSize="0" autoLine="0" autoPict="0" r:id="rId7">
            <anchor moveWithCells="1" sizeWithCells="1">
              <from>
                <xdr:col>0</xdr:col>
                <xdr:colOff>0</xdr:colOff>
                <xdr:row>0</xdr:row>
                <xdr:rowOff>0</xdr:rowOff>
              </from>
              <to>
                <xdr:col>1</xdr:col>
                <xdr:colOff>304800</xdr:colOff>
                <xdr:row>0</xdr:row>
                <xdr:rowOff>0</xdr:rowOff>
              </to>
            </anchor>
          </controlPr>
        </control>
      </mc:Choice>
      <mc:Fallback>
        <control shapeId="12289" r:id="rId6" name="FPMExcelClientSheetOptionstb1"/>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2f4ca286ce34c3bbda5ce712bce9358 xmlns="6918f9be-eeb1-415b-9be3-654e90f201e2">
      <Terms xmlns="http://schemas.microsoft.com/office/infopath/2007/PartnerControls">
        <TermInfo xmlns="http://schemas.microsoft.com/office/infopath/2007/PartnerControls">
          <TermName xmlns="http://schemas.microsoft.com/office/infopath/2007/PartnerControls">Tier1</TermName>
          <TermId xmlns="http://schemas.microsoft.com/office/infopath/2007/PartnerControls">cd280bf6-779a-4dbd-a719-e9e36283fb86</TermId>
        </TermInfo>
      </Terms>
    </a2f4ca286ce34c3bbda5ce712bce9358>
    <TaxCatchAll xmlns="e0824a81-70f0-4b99-a206-b0e60c0f2e92">
      <Value>1</Value>
    </TaxCatchAll>
    <Bookmarked xmlns="6918f9be-eeb1-415b-9be3-654e90f201e2" xsi:nil="true"/>
    <Language xmlns="6918f9be-eeb1-415b-9be3-654e90f201e2" xsi:nil="true"/>
    <Original_x0020_File_x0020_Name xmlns="6918f9be-eeb1-415b-9be3-654e90f201e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F619B01B3569A4AB64731BE0E072FE7" ma:contentTypeVersion="7" ma:contentTypeDescription="Create a new document." ma:contentTypeScope="" ma:versionID="1d286fb156c8c27526f65cf5e663afd3">
  <xsd:schema xmlns:xsd="http://www.w3.org/2001/XMLSchema" xmlns:xs="http://www.w3.org/2001/XMLSchema" xmlns:p="http://schemas.microsoft.com/office/2006/metadata/properties" xmlns:ns2="6918f9be-eeb1-415b-9be3-654e90f201e2" xmlns:ns3="e0824a81-70f0-4b99-a206-b0e60c0f2e92" targetNamespace="http://schemas.microsoft.com/office/2006/metadata/properties" ma:root="true" ma:fieldsID="f63096334391a910ec4f899f17b79acf" ns2:_="" ns3:_="">
    <xsd:import namespace="6918f9be-eeb1-415b-9be3-654e90f201e2"/>
    <xsd:import namespace="e0824a81-70f0-4b99-a206-b0e60c0f2e92"/>
    <xsd:element name="properties">
      <xsd:complexType>
        <xsd:sequence>
          <xsd:element name="documentManagement">
            <xsd:complexType>
              <xsd:all>
                <xsd:element ref="ns2:Original_x0020_File_x0020_Name" minOccurs="0"/>
                <xsd:element ref="ns2:Language" minOccurs="0"/>
                <xsd:element ref="ns2:Bookmarked" minOccurs="0"/>
                <xsd:element ref="ns2:a2f4ca286ce34c3bbda5ce712bce9358" minOccurs="0"/>
                <xsd:element ref="ns3:TaxCatchAl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18f9be-eeb1-415b-9be3-654e90f201e2" elementFormDefault="qualified">
    <xsd:import namespace="http://schemas.microsoft.com/office/2006/documentManagement/types"/>
    <xsd:import namespace="http://schemas.microsoft.com/office/infopath/2007/PartnerControls"/>
    <xsd:element name="Original_x0020_File_x0020_Name" ma:index="8" nillable="true" ma:displayName="Original File Name" ma:internalName="Original_x0020_File_x0020_Name">
      <xsd:simpleType>
        <xsd:restriction base="dms:Text">
          <xsd:maxLength value="255"/>
        </xsd:restriction>
      </xsd:simpleType>
    </xsd:element>
    <xsd:element name="Language" ma:index="9" nillable="true" ma:displayName="Language" ma:internalName="Language">
      <xsd:simpleType>
        <xsd:restriction base="dms:Text">
          <xsd:maxLength value="255"/>
        </xsd:restriction>
      </xsd:simpleType>
    </xsd:element>
    <xsd:element name="Bookmarked" ma:index="10" nillable="true" ma:displayName="Bookmarked" ma:internalName="Bookmarked">
      <xsd:simpleType>
        <xsd:restriction base="dms:Text">
          <xsd:maxLength value="255"/>
        </xsd:restriction>
      </xsd:simpleType>
    </xsd:element>
    <xsd:element name="a2f4ca286ce34c3bbda5ce712bce9358" ma:index="12" nillable="true" ma:taxonomy="true" ma:internalName="a2f4ca286ce34c3bbda5ce712bce9358" ma:taxonomyFieldName="Tier_x0020_Type" ma:displayName="Tier Type" ma:default="1;#Tier1|cd280bf6-779a-4dbd-a719-e9e36283fb86" ma:fieldId="{a2f4ca28-6ce3-4c3b-bda5-ce712bce9358}" ma:sspId="f2cfcc6d-cc8f-4f2d-af56-00017de6e7f5" ma:termSetId="fbea8927-0f62-47b9-924d-dfde974728a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0824a81-70f0-4b99-a206-b0e60c0f2e92" elementFormDefault="qualified">
    <xsd:import namespace="http://schemas.microsoft.com/office/2006/documentManagement/types"/>
    <xsd:import namespace="http://schemas.microsoft.com/office/infopath/2007/PartnerControls"/>
    <xsd:element name="TaxCatchAll" ma:index="13" nillable="true" ma:displayName="Taxonomy Catch All Column" ma:description="" ma:hidden="true" ma:list="{9217c8c8-c95e-4821-9c03-e654b7e04c8a}" ma:internalName="TaxCatchAll" ma:showField="CatchAllData" ma:web="e0824a81-70f0-4b99-a206-b0e60c0f2e92">
      <xsd:complexType>
        <xsd:complexContent>
          <xsd:extension base="dms:MultiChoiceLookup">
            <xsd:sequence>
              <xsd:element name="Value" type="dms:Lookup" maxOccurs="unbounded" minOccurs="0" nillable="true"/>
            </xsd:sequence>
          </xsd:extension>
        </xsd:complexContent>
      </xsd:complexType>
    </xsd:element>
    <xsd:element name="SharedWithUsers" ma:index="14"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CD7C11-CAEA-4024-9BB8-B0870A778AEC}">
  <ds:schemaRefs>
    <ds:schemaRef ds:uri="http://schemas.microsoft.com/office/2006/metadata/properties"/>
    <ds:schemaRef ds:uri="http://schemas.microsoft.com/office/infopath/2007/PartnerControls"/>
    <ds:schemaRef ds:uri="6918f9be-eeb1-415b-9be3-654e90f201e2"/>
    <ds:schemaRef ds:uri="e0824a81-70f0-4b99-a206-b0e60c0f2e92"/>
  </ds:schemaRefs>
</ds:datastoreItem>
</file>

<file path=customXml/itemProps2.xml><?xml version="1.0" encoding="utf-8"?>
<ds:datastoreItem xmlns:ds="http://schemas.openxmlformats.org/officeDocument/2006/customXml" ds:itemID="{99B68CAE-8962-4115-8131-E17B311693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18f9be-eeb1-415b-9be3-654e90f201e2"/>
    <ds:schemaRef ds:uri="e0824a81-70f0-4b99-a206-b0e60c0f2e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A2D3DA-78FA-45BE-8FDB-881F3CF641C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Reconciliation</vt:lpstr>
      <vt:lpstr>BPC Data</vt:lpstr>
      <vt:lpstr>Summary</vt:lpstr>
      <vt:lpstr>Variance Analysis Old</vt:lpstr>
      <vt:lpstr>2016 Non-Operating adjustment</vt:lpstr>
      <vt:lpstr>Beds Analysis</vt:lpstr>
      <vt:lpstr>Cons SABRA SNFs Only</vt:lpstr>
      <vt:lpstr>Bluffton</vt:lpstr>
      <vt:lpstr>PropertyList</vt:lpstr>
      <vt:lpstr>SCC P&amp;L(Previous Rec)</vt:lpstr>
      <vt:lpstr>SCC P&amp;L (Previous Rec)</vt:lpstr>
      <vt:lpstr>Summary!Print_Area</vt:lpstr>
      <vt:lpstr>Bluffton!Print_Titles</vt:lpstr>
      <vt:lpstr>'Cons SABRA SNFs Only'!Print_Titles</vt:lpstr>
      <vt:lpstr>'SCC P&amp;L (Previous Rec)'!Print_Titles</vt:lpstr>
      <vt:lpstr>'SCC P&amp;L(Previous Rec)'!Print_Titles</vt:lpstr>
      <vt:lpstr>Summary!Print_Titles</vt:lpstr>
    </vt:vector>
  </TitlesOfParts>
  <Company>Cloudworks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Paquette</dc:creator>
  <cp:lastModifiedBy>Venkatesh Bhaskar</cp:lastModifiedBy>
  <cp:lastPrinted>2018-05-04T19:02:25Z</cp:lastPrinted>
  <dcterms:created xsi:type="dcterms:W3CDTF">2018-05-03T20:26:04Z</dcterms:created>
  <dcterms:modified xsi:type="dcterms:W3CDTF">2021-10-01T11:00:19Z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{4F461820-7F2B-4134-8293-2511E79FF415}</vt:lpwstr>
  </property>
  <property fmtid="{D5CDD505-2E9C-101B-9397-08002B2CF9AE}" pid="3" name="ContentTypeId">
    <vt:lpwstr>0x010100BF619B01B3569A4AB64731BE0E072FE7</vt:lpwstr>
  </property>
  <property fmtid="{D5CDD505-2E9C-101B-9397-08002B2CF9AE}" pid="4" name="Tier Type">
    <vt:lpwstr>1;#Tier1|cd280bf6-779a-4dbd-a719-e9e36283fb86</vt:lpwstr>
  </property>
  <property fmtid="{D5CDD505-2E9C-101B-9397-08002B2CF9AE}" pid="5" name="SV_QUERY_LIST_4F35BF76-6C0D-4D9B-82B2-816C12CF3733">
    <vt:lpwstr>empty_477D106A-C0D6-4607-AEBD-E2C9D60EA279</vt:lpwstr>
  </property>
</Properties>
</file>