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tables/table1.xml" ContentType="application/vnd.openxmlformats-officedocument.spreadsheetml.table+xml"/>
  <Override PartName="/xl/drawings/drawing1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ison Excel Files\"/>
    </mc:Choice>
  </mc:AlternateContent>
  <xr:revisionPtr revIDLastSave="0" documentId="8_{495A894C-AC0D-4CD0-BDB2-43A0AFD3BA9C}" xr6:coauthVersionLast="47" xr6:coauthVersionMax="47" xr10:uidLastSave="{00000000-0000-0000-0000-000000000000}"/>
  <bookViews>
    <workbookView xWindow="-120" yWindow="-120" windowWidth="24240" windowHeight="13020" xr2:uid="{1F72180B-CF6F-41EF-B191-AD98474440C9}"/>
  </bookViews>
  <sheets>
    <sheet name="VLOOKUP" sheetId="1" r:id="rId1"/>
    <sheet name="INDEX MATCH" sheetId="2" r:id="rId2"/>
    <sheet name="XLOOKUP" sheetId="3" r:id="rId3"/>
    <sheet name="Raw Data" sheetId="4" r:id="rId4"/>
    <sheet name="Decision and text F" sheetId="10" r:id="rId5"/>
    <sheet name="IF" sheetId="5" r:id="rId6"/>
    <sheet name="IFS" sheetId="6" r:id="rId7"/>
    <sheet name="Choose" sheetId="7" r:id="rId8"/>
    <sheet name="SWITCH" sheetId="8" r:id="rId9"/>
    <sheet name="SUMIF COUNTIF" sheetId="23" r:id="rId10"/>
    <sheet name="Demo" sheetId="24" r:id="rId11"/>
    <sheet name="Lookup Function" sheetId="9" r:id="rId12"/>
    <sheet name="Vlookup #" sheetId="11" r:id="rId13"/>
    <sheet name="Index Match #" sheetId="12" r:id="rId14"/>
    <sheet name="Xlookup #" sheetId="13" r:id="rId15"/>
    <sheet name="Raw Data #" sheetId="14" r:id="rId16"/>
    <sheet name="Complete #" sheetId="15" r:id="rId17"/>
    <sheet name="Filter #" sheetId="16" r:id="rId18"/>
    <sheet name="SPACE #" sheetId="17" r:id="rId19"/>
    <sheet name="COMMA #" sheetId="18" r:id="rId20"/>
    <sheet name="UNIQUE #" sheetId="19" r:id="rId21"/>
    <sheet name="UNIQUE##" sheetId="26" r:id="rId22"/>
    <sheet name="TEXTJOIN" sheetId="28" r:id="rId23"/>
    <sheet name="LET" sheetId="29" r:id="rId24"/>
    <sheet name="FILTER##" sheetId="27" r:id="rId25"/>
    <sheet name="RANGE DEMO #" sheetId="20" r:id="rId26"/>
    <sheet name="Name Ranges" sheetId="21" r:id="rId27"/>
    <sheet name="What to know about Name Ranges " sheetId="22" r:id="rId28"/>
    <sheet name="Demo#" sheetId="30" r:id="rId29"/>
    <sheet name="Excel Tables" sheetId="31" r:id="rId30"/>
    <sheet name="Fun with Tables " sheetId="32" r:id="rId31"/>
    <sheet name="Sheet1" sheetId="33" r:id="rId32"/>
  </sheets>
  <externalReferences>
    <externalReference r:id="rId33"/>
  </externalReferences>
  <definedNames>
    <definedName name="all">Table1[]</definedName>
    <definedName name="April">'Demo#'!$F$4:$F$7</definedName>
    <definedName name="Data.Number">'Name Ranges'!$D$3:$D$49</definedName>
    <definedName name="Data.Table">Table1[#All]</definedName>
    <definedName name="Data.Tables">Table1[#All]</definedName>
    <definedName name="East">'Demo#'!$C$6:$I$6</definedName>
    <definedName name="February">'Demo#'!$D$4:$D$7</definedName>
    <definedName name="Headers">Table1[#Headers]</definedName>
    <definedName name="January">'Demo#'!$C$4:$C$7</definedName>
    <definedName name="July">'Demo#'!$I$4:$I$7</definedName>
    <definedName name="June">'Demo#'!$H$4:$H$7</definedName>
    <definedName name="March">'Demo#'!$E$4:$E$7</definedName>
    <definedName name="MaxValue">'Name Ranges'!$J$10</definedName>
    <definedName name="May">'Demo#'!$G$4:$G$7</definedName>
    <definedName name="MinValue">'Name Ranges'!$J$13</definedName>
    <definedName name="Names">Table1[[#All],[Names]]</definedName>
    <definedName name="NamesRanges">'Name Ranges'!$B$3:$B$49</definedName>
    <definedName name="NamesRnages">'Name Ranges'!$B$3:$B$49</definedName>
    <definedName name="North">'Demo#'!$C$4:$I$4</definedName>
    <definedName name="South">'Demo#'!$C$5:$I$5</definedName>
    <definedName name="Tables.Data">Table1[#All]</definedName>
    <definedName name="UniqueList">_xlfn.UNIQUE(#REF!)</definedName>
    <definedName name="West">'Demo#'!$C$7:$I$7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4" l="1" a="1"/>
  <c r="C13" i="14" s="1"/>
  <c r="C12" i="14" a="1"/>
  <c r="C12" i="14" s="1"/>
  <c r="C11" i="14" a="1"/>
  <c r="C11" i="14" s="1"/>
  <c r="M8" i="13"/>
  <c r="M7" i="13"/>
  <c r="L6" i="13"/>
  <c r="L5" i="13"/>
  <c r="J23" i="21"/>
  <c r="E30" i="28"/>
  <c r="J46" i="16" a="1"/>
  <c r="J46" i="16" s="1"/>
  <c r="J39" i="16" a="1"/>
  <c r="J39" i="16" s="1"/>
  <c r="R24" i="16" a="1"/>
  <c r="R24" i="16" s="1"/>
  <c r="R40" i="16" a="1"/>
  <c r="R40" i="16" s="1"/>
  <c r="G7" i="7"/>
  <c r="G8" i="7"/>
  <c r="G6" i="7"/>
  <c r="G5" i="7"/>
  <c r="G4" i="7"/>
  <c r="C15" i="4"/>
  <c r="D11" i="19" a="1"/>
  <c r="D11" i="19" s="1"/>
  <c r="L12" i="30"/>
  <c r="K12" i="30"/>
  <c r="E11" i="33"/>
  <c r="L3" i="24"/>
  <c r="E3" i="8" a="1"/>
  <c r="E3" i="8" s="1"/>
  <c r="T10" i="2"/>
  <c r="P8" i="2"/>
  <c r="O8" i="2"/>
  <c r="P9" i="1"/>
  <c r="P8" i="1"/>
  <c r="C13" i="4" a="1"/>
  <c r="C13" i="4" s="1"/>
  <c r="L22" i="3" a="1"/>
  <c r="L22" i="3" s="1"/>
  <c r="L20" i="3" a="1"/>
  <c r="L20" i="3" s="1"/>
  <c r="K14" i="30"/>
  <c r="K13" i="30"/>
  <c r="K15" i="30"/>
  <c r="J10" i="21"/>
  <c r="J11" i="21" s="1"/>
  <c r="J18" i="21"/>
  <c r="J21" i="21"/>
  <c r="E17" i="28"/>
  <c r="E16" i="28"/>
  <c r="L7" i="13"/>
  <c r="M6" i="13"/>
  <c r="K10" i="13"/>
  <c r="K8" i="11"/>
  <c r="K9" i="11"/>
  <c r="T10" i="12"/>
  <c r="T9" i="12"/>
  <c r="S9" i="12"/>
  <c r="G7" i="33"/>
  <c r="E14" i="28"/>
  <c r="J24" i="16" a="1"/>
  <c r="J24" i="16" s="1"/>
  <c r="F8" i="7"/>
  <c r="F7" i="7"/>
  <c r="F6" i="7"/>
  <c r="F5" i="7"/>
  <c r="F4" i="7"/>
  <c r="E5" i="7"/>
  <c r="E4" i="7"/>
  <c r="D4" i="7"/>
  <c r="K15" i="20"/>
  <c r="K14" i="20"/>
  <c r="K13" i="20"/>
  <c r="K12" i="20"/>
  <c r="H3" i="33"/>
  <c r="C3" i="33"/>
  <c r="C4" i="33"/>
  <c r="C7" i="33" s="1"/>
  <c r="C5" i="33"/>
  <c r="P15" i="30"/>
  <c r="P14" i="30"/>
  <c r="P13" i="30"/>
  <c r="P12" i="30"/>
  <c r="J17" i="21"/>
  <c r="D4" i="19" a="1"/>
  <c r="D4" i="19" s="1"/>
  <c r="R12" i="16" a="1"/>
  <c r="R12" i="16" s="1"/>
  <c r="R7" i="16" a="1"/>
  <c r="R7" i="16" s="1"/>
  <c r="C28" i="15" a="1"/>
  <c r="C28" i="15" s="1"/>
  <c r="C30" i="15" s="1"/>
  <c r="C19" i="15" a="1"/>
  <c r="C19" i="15" s="1"/>
  <c r="D18" i="5"/>
  <c r="V10" i="2"/>
  <c r="U10" i="2"/>
  <c r="D17" i="5"/>
  <c r="D16" i="5"/>
  <c r="O12" i="3"/>
  <c r="O11" i="3"/>
  <c r="O10" i="3"/>
  <c r="L10" i="3"/>
  <c r="L21" i="3" a="1"/>
  <c r="L21" i="3" s="1"/>
  <c r="M29" i="3" a="1"/>
  <c r="M29" i="3" s="1"/>
  <c r="M27" i="3"/>
  <c r="M26" i="3"/>
  <c r="M25" i="3"/>
  <c r="O8" i="3"/>
  <c r="O7" i="3"/>
  <c r="O5" i="3"/>
  <c r="O6" i="3" s="1"/>
  <c r="V9" i="2"/>
  <c r="U9" i="2"/>
  <c r="O9" i="2"/>
  <c r="N8" i="2"/>
  <c r="O9" i="1"/>
  <c r="O8" i="1"/>
  <c r="J15" i="21"/>
  <c r="J14" i="21"/>
  <c r="O15" i="30"/>
  <c r="O14" i="30"/>
  <c r="O13" i="30"/>
  <c r="O12" i="30"/>
  <c r="L15" i="30"/>
  <c r="L14" i="30"/>
  <c r="L13" i="30"/>
  <c r="J13" i="21"/>
  <c r="J6" i="21"/>
  <c r="J7" i="21" s="1"/>
  <c r="D17" i="22"/>
  <c r="E3" i="33"/>
  <c r="E8" i="33"/>
  <c r="C8" i="33" a="1"/>
  <c r="E4" i="33"/>
  <c r="E5" i="33"/>
  <c r="E7" i="33"/>
  <c r="C8" i="33" l="1"/>
  <c r="C31" i="15"/>
  <c r="D31" i="15"/>
  <c r="E31" i="15"/>
  <c r="F31" i="15"/>
  <c r="C16" i="29" a="1"/>
  <c r="C16" i="29"/>
  <c r="E12" i="28"/>
  <c r="E5" i="28"/>
  <c r="E8" i="28"/>
  <c r="E10" i="28"/>
  <c r="E7" i="28"/>
  <c r="C21" i="15" a="1"/>
  <c r="C21" i="15" s="1"/>
  <c r="C10" i="14" a="1"/>
  <c r="C10" i="14" s="1"/>
  <c r="K12" i="13" a="1"/>
  <c r="K12" i="13" s="1"/>
  <c r="E4" i="28"/>
  <c r="E3" i="28"/>
  <c r="C11" i="26" a="1"/>
  <c r="C11" i="26" s="1"/>
  <c r="C4" i="26" a="1"/>
  <c r="C4" i="26" s="1"/>
  <c r="C39" i="29" a="1"/>
  <c r="C39" i="29" s="1"/>
  <c r="J55" i="27" a="1"/>
  <c r="J55" i="27" s="1"/>
  <c r="E22" i="28"/>
  <c r="E21" i="28"/>
  <c r="E20" i="28"/>
  <c r="C25" i="26" a="1"/>
  <c r="C25" i="26" s="1"/>
  <c r="F5" i="28"/>
  <c r="F20" i="28"/>
  <c r="F22" i="28"/>
  <c r="F7" i="28"/>
  <c r="F8" i="28"/>
  <c r="F3" i="28"/>
  <c r="F4" i="28"/>
  <c r="F10" i="28"/>
  <c r="F21" i="28"/>
  <c r="C24" i="15" l="1"/>
  <c r="C25" i="15" s="1"/>
  <c r="C11" i="19" a="1"/>
  <c r="C11" i="19" s="1"/>
  <c r="C4" i="19" a="1"/>
  <c r="C4" i="19" s="1"/>
  <c r="D29" i="24"/>
  <c r="L6" i="24" s="1"/>
  <c r="F16" i="23"/>
  <c r="F15" i="23"/>
  <c r="F14" i="23"/>
  <c r="E16" i="23"/>
  <c r="E15" i="23"/>
  <c r="E14" i="23"/>
  <c r="E6" i="8" a="1"/>
  <c r="E6" i="8" s="1"/>
  <c r="E5" i="8" a="1"/>
  <c r="E5" i="8" s="1"/>
  <c r="E4" i="8" a="1"/>
  <c r="E4" i="8" s="1"/>
  <c r="D3" i="8" a="1"/>
  <c r="D3" i="8"/>
  <c r="E7" i="7"/>
  <c r="E8" i="7"/>
  <c r="E6" i="7"/>
  <c r="D6" i="7"/>
  <c r="N6" i="3"/>
  <c r="N5" i="3"/>
  <c r="N8" i="3" s="1"/>
  <c r="M7" i="3"/>
  <c r="T9" i="2"/>
  <c r="T4" i="2"/>
  <c r="D74" i="24"/>
  <c r="L72" i="24"/>
  <c r="L71" i="24"/>
  <c r="L70" i="24"/>
  <c r="L69" i="24"/>
  <c r="L68" i="24"/>
  <c r="L67" i="24"/>
  <c r="L66" i="24"/>
  <c r="L65" i="24"/>
  <c r="L64" i="24"/>
  <c r="L63" i="24"/>
  <c r="L62" i="24"/>
  <c r="L61" i="24"/>
  <c r="L60" i="24"/>
  <c r="L59" i="24"/>
  <c r="L58" i="24"/>
  <c r="L57" i="24"/>
  <c r="L56" i="24"/>
  <c r="L55" i="24"/>
  <c r="L54" i="24"/>
  <c r="L53" i="24"/>
  <c r="L52" i="24"/>
  <c r="L51" i="24"/>
  <c r="L50" i="24"/>
  <c r="L49" i="24"/>
  <c r="L48" i="24"/>
  <c r="D9" i="23" a="1"/>
  <c r="D9" i="23" s="1"/>
  <c r="D8" i="23" a="1"/>
  <c r="D8" i="23" s="1"/>
  <c r="D7" i="23" a="1"/>
  <c r="D7" i="23" s="1"/>
  <c r="D6" i="23" a="1"/>
  <c r="D6" i="23" s="1"/>
  <c r="D5" i="23" a="1"/>
  <c r="D5" i="23" s="1"/>
  <c r="D4" i="23" a="1"/>
  <c r="D4" i="23" s="1"/>
  <c r="G3" i="23"/>
  <c r="N7" i="3" l="1"/>
  <c r="F25" i="15"/>
  <c r="E25" i="15"/>
  <c r="D25" i="15"/>
  <c r="L10" i="24"/>
  <c r="L11" i="24"/>
  <c r="L8" i="24"/>
  <c r="L25" i="24"/>
  <c r="L15" i="24"/>
  <c r="L24" i="24"/>
  <c r="L14" i="24"/>
  <c r="L23" i="24"/>
  <c r="L22" i="24"/>
  <c r="L19" i="24"/>
  <c r="L9" i="24"/>
  <c r="L18" i="24"/>
  <c r="L27" i="24"/>
  <c r="L17" i="24"/>
  <c r="L7" i="24"/>
  <c r="L26" i="24"/>
  <c r="L16" i="24"/>
  <c r="L5" i="24"/>
  <c r="L21" i="24"/>
  <c r="L13" i="24"/>
  <c r="L4" i="24"/>
  <c r="L20" i="24"/>
  <c r="L12" i="24"/>
  <c r="K27" i="20"/>
  <c r="K26" i="20"/>
  <c r="K25" i="20"/>
  <c r="K24" i="20"/>
  <c r="C25" i="19" a="1"/>
  <c r="C25" i="19" s="1"/>
  <c r="F14" i="18"/>
  <c r="F14" i="17"/>
  <c r="J55" i="16" a="1"/>
  <c r="J55" i="16" s="1"/>
  <c r="J7" i="16" a="1"/>
  <c r="J7" i="16" s="1"/>
  <c r="C9" i="15" a="1"/>
  <c r="C9" i="15" s="1"/>
  <c r="C9" i="14" a="1"/>
  <c r="C9" i="14" s="1"/>
  <c r="K13" i="13" a="1"/>
  <c r="K13" i="13" s="1"/>
  <c r="K11" i="13"/>
  <c r="L8" i="13"/>
  <c r="K8" i="13"/>
  <c r="K7" i="13"/>
  <c r="K5" i="13"/>
  <c r="K6" i="13" s="1"/>
  <c r="L31" i="12"/>
  <c r="M28" i="12"/>
  <c r="K26" i="12" s="1"/>
  <c r="S10" i="12"/>
  <c r="L9" i="12"/>
  <c r="L8" i="12"/>
  <c r="M5" i="12"/>
  <c r="K3" i="12" s="1"/>
  <c r="T4" i="12"/>
  <c r="T5" i="12" s="1"/>
  <c r="T6" i="12" s="1" a="1"/>
  <c r="T6" i="12" s="1"/>
  <c r="K41" i="11"/>
  <c r="L38" i="11"/>
  <c r="J36" i="11" s="1"/>
  <c r="K25" i="11"/>
  <c r="L22" i="11"/>
  <c r="B30" i="11" s="1"/>
  <c r="L5" i="11"/>
  <c r="J3" i="11" s="1"/>
  <c r="D9" i="15" l="1"/>
  <c r="E9" i="15"/>
  <c r="F9" i="15"/>
  <c r="C12" i="15" l="1"/>
  <c r="C13" i="15" s="1"/>
  <c r="F13" i="15" l="1"/>
  <c r="D13" i="15"/>
  <c r="E13" i="15"/>
  <c r="C15" i="15" l="1"/>
  <c r="D21" i="8" a="1"/>
  <c r="D21" i="8" s="1"/>
  <c r="D20" i="8" a="1"/>
  <c r="D20" i="8" s="1"/>
  <c r="D19" i="8" a="1"/>
  <c r="D19" i="8" s="1"/>
  <c r="D18" i="8" a="1"/>
  <c r="D18" i="8" s="1"/>
  <c r="D6" i="8" a="1"/>
  <c r="D6" i="8" s="1"/>
  <c r="D5" i="8" a="1"/>
  <c r="D5" i="8" s="1"/>
  <c r="D4" i="8" a="1"/>
  <c r="D4" i="8" s="1"/>
  <c r="D19" i="7"/>
  <c r="D18" i="7"/>
  <c r="D17" i="7"/>
  <c r="D8" i="7"/>
  <c r="D7" i="7"/>
  <c r="D5" i="7"/>
  <c r="D23" i="6" a="1"/>
  <c r="D23" i="6" s="1"/>
  <c r="D22" i="6" a="1"/>
  <c r="D22" i="6" s="1"/>
  <c r="D21" i="6" a="1"/>
  <c r="D21" i="6" s="1"/>
  <c r="D20" i="6" a="1"/>
  <c r="D20" i="6" s="1"/>
  <c r="D19" i="6" a="1"/>
  <c r="D19" i="6" s="1"/>
  <c r="E9" i="6" a="1"/>
  <c r="E9" i="6" s="1"/>
  <c r="D9" i="6" a="1"/>
  <c r="D9" i="6" s="1"/>
  <c r="K8" i="6" a="1"/>
  <c r="K8" i="6" s="1"/>
  <c r="E8" i="6" a="1"/>
  <c r="E8" i="6" s="1"/>
  <c r="D8" i="6" a="1"/>
  <c r="D8" i="6" s="1"/>
  <c r="K7" i="6" a="1"/>
  <c r="K7" i="6" s="1"/>
  <c r="E7" i="6"/>
  <c r="E7" i="6" a="1"/>
  <c r="D7" i="6" a="1"/>
  <c r="D7" i="6" s="1"/>
  <c r="K6" i="6" a="1"/>
  <c r="K6" i="6" s="1"/>
  <c r="E6" i="6" a="1"/>
  <c r="E6" i="6" s="1"/>
  <c r="D6" i="6" a="1"/>
  <c r="D6" i="6" s="1"/>
  <c r="K5" i="6" a="1"/>
  <c r="K5" i="6" s="1"/>
  <c r="E5" i="6" a="1"/>
  <c r="E5" i="6" s="1"/>
  <c r="D5" i="6" a="1"/>
  <c r="D5" i="6" s="1"/>
  <c r="K4" i="6" a="1"/>
  <c r="K4" i="6" s="1"/>
  <c r="E4" i="6" a="1"/>
  <c r="E4" i="6" s="1"/>
  <c r="D4" i="6" a="1"/>
  <c r="D4" i="6" s="1"/>
  <c r="D20" i="5"/>
  <c r="D19" i="5"/>
  <c r="H8" i="5"/>
  <c r="G8" i="5"/>
  <c r="F8" i="5"/>
  <c r="D8" i="5"/>
  <c r="E8" i="5" s="1"/>
  <c r="G7" i="5"/>
  <c r="D7" i="5"/>
  <c r="H7" i="5" s="1"/>
  <c r="H6" i="5"/>
  <c r="G6" i="5"/>
  <c r="D6" i="5"/>
  <c r="F6" i="5" s="1"/>
  <c r="H5" i="5"/>
  <c r="G5" i="5"/>
  <c r="F5" i="5"/>
  <c r="E5" i="5"/>
  <c r="D5" i="5"/>
  <c r="G4" i="5"/>
  <c r="D4" i="5"/>
  <c r="H4" i="5" s="1"/>
  <c r="E20" i="6"/>
  <c r="E19" i="6"/>
  <c r="E22" i="6"/>
  <c r="E23" i="6"/>
  <c r="E21" i="6"/>
  <c r="E7" i="5" l="1"/>
  <c r="E4" i="5"/>
  <c r="F7" i="5"/>
  <c r="F4" i="5"/>
  <c r="E6" i="5"/>
  <c r="U8" i="1" l="1"/>
  <c r="N9" i="1"/>
  <c r="N8" i="1"/>
  <c r="C17" i="4"/>
  <c r="C22" i="4" s="1"/>
  <c r="N9" i="2"/>
  <c r="L25" i="3"/>
  <c r="L27" i="3"/>
  <c r="L26" i="3"/>
  <c r="N19" i="3"/>
  <c r="M19" i="3"/>
  <c r="L19" i="3"/>
  <c r="N10" i="3"/>
  <c r="M10" i="3"/>
  <c r="N11" i="3"/>
  <c r="M11" i="3"/>
  <c r="M8" i="3"/>
  <c r="M5" i="3"/>
  <c r="M6" i="3" s="1"/>
  <c r="C11" i="4" a="1"/>
  <c r="C11" i="4" s="1"/>
  <c r="C9" i="4" a="1"/>
  <c r="C9" i="4" s="1"/>
  <c r="L12" i="3" a="1"/>
  <c r="L12" i="3" s="1"/>
  <c r="L11" i="3"/>
  <c r="L8" i="3"/>
  <c r="L7" i="3"/>
  <c r="L5" i="3"/>
  <c r="L6" i="3" s="1"/>
  <c r="D22" i="4" l="1"/>
  <c r="E22" i="4"/>
  <c r="C16" i="4"/>
  <c r="C20" i="4" s="1"/>
  <c r="F18" i="4"/>
  <c r="C18" i="4"/>
  <c r="D18" i="4"/>
  <c r="S10" i="2"/>
  <c r="S9" i="2"/>
  <c r="T8" i="1"/>
  <c r="S3" i="1"/>
  <c r="U5" i="1"/>
  <c r="L31" i="2"/>
  <c r="M28" i="2"/>
  <c r="K26" i="2" s="1"/>
  <c r="L9" i="2"/>
  <c r="L8" i="2"/>
  <c r="T5" i="2"/>
  <c r="T6" i="2" s="1" a="1"/>
  <c r="T6" i="2" s="1"/>
  <c r="M5" i="2"/>
  <c r="K3" i="2" s="1"/>
  <c r="L31" i="1"/>
  <c r="M28" i="1"/>
  <c r="K26" i="1"/>
  <c r="L9" i="1"/>
  <c r="L8" i="1"/>
  <c r="M5" i="1"/>
  <c r="K3" i="1" s="1"/>
  <c r="F20" i="4" l="1"/>
  <c r="E20" i="4"/>
  <c r="D20" i="4"/>
  <c r="F22" i="4"/>
  <c r="E1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<sst xmlns="http://schemas.openxmlformats.org/spreadsheetml/2006/main" count="1625" uniqueCount="386">
  <si>
    <t>small</t>
  </si>
  <si>
    <t>medium</t>
  </si>
  <si>
    <t>large</t>
  </si>
  <si>
    <t>regular coffee</t>
  </si>
  <si>
    <t>Drink</t>
  </si>
  <si>
    <t>decaf</t>
  </si>
  <si>
    <t>Size</t>
  </si>
  <si>
    <t>latte</t>
  </si>
  <si>
    <t>macchiato</t>
  </si>
  <si>
    <t>Price</t>
  </si>
  <si>
    <t>cappuccino</t>
  </si>
  <si>
    <t>americano</t>
  </si>
  <si>
    <t>Task:</t>
  </si>
  <si>
    <t>Use INDEX/MATCH to answer the question</t>
  </si>
  <si>
    <t>=MATCH(lookup_value, where to look, FALSE)</t>
  </si>
  <si>
    <t>=INDEX(array, row coordinate, column coordinate)</t>
  </si>
  <si>
    <t>Which menu item has the most expensive item in the large category?</t>
  </si>
  <si>
    <t xml:space="preserve">Find the Max Value </t>
  </si>
  <si>
    <t>match</t>
  </si>
  <si>
    <t>Index</t>
  </si>
  <si>
    <t>To do:</t>
  </si>
  <si>
    <t>Use VLOOKUP to answer the question</t>
  </si>
  <si>
    <t>=VLOOKUP( what you're searching for, where you're looking, the column of interest, the match type)</t>
  </si>
  <si>
    <t>Max Item in Large Category</t>
  </si>
  <si>
    <t>Menu Item</t>
  </si>
  <si>
    <t>Menu Item Expensive</t>
  </si>
  <si>
    <t xml:space="preserve">Menu Item Affortable </t>
  </si>
  <si>
    <t>Menu Items Names</t>
  </si>
  <si>
    <t>Small</t>
  </si>
  <si>
    <t>Sales Staff</t>
  </si>
  <si>
    <t>North</t>
  </si>
  <si>
    <t>South</t>
  </si>
  <si>
    <t>East</t>
  </si>
  <si>
    <t>West</t>
  </si>
  <si>
    <t>Jeremy</t>
  </si>
  <si>
    <t>Mark</t>
  </si>
  <si>
    <t>April</t>
  </si>
  <si>
    <t>Sarah</t>
  </si>
  <si>
    <t>Max Value</t>
  </si>
  <si>
    <t xml:space="preserve">Max Value Series </t>
  </si>
  <si>
    <t>Max Value Series</t>
  </si>
  <si>
    <t>Menu items Names :</t>
  </si>
  <si>
    <t>Using Vlookup + MATCH</t>
  </si>
  <si>
    <t>Using Xlookup</t>
  </si>
  <si>
    <t>INDEX + MATCH</t>
  </si>
  <si>
    <t>e</t>
  </si>
  <si>
    <t>Value 1</t>
  </si>
  <si>
    <t>Value 2</t>
  </si>
  <si>
    <t>IF</t>
  </si>
  <si>
    <t>A</t>
  </si>
  <si>
    <t>Jordan</t>
  </si>
  <si>
    <t xml:space="preserve">Task: </t>
  </si>
  <si>
    <t>Use an IF formula to identify if Value 1 equals Value 2. If they are equal, write "Yes," if not, write "No,"</t>
  </si>
  <si>
    <t>=IF( conditional , do this if true, do this if not true)</t>
  </si>
  <si>
    <t xml:space="preserve">Jordan </t>
  </si>
  <si>
    <t>inspect … notice one of these values has an extra space</t>
  </si>
  <si>
    <t>2.1.2 IFS</t>
  </si>
  <si>
    <t>Student</t>
  </si>
  <si>
    <t>Result</t>
  </si>
  <si>
    <t>Grade</t>
  </si>
  <si>
    <t>Sam</t>
  </si>
  <si>
    <t>&gt;90%</t>
  </si>
  <si>
    <t>Marissa</t>
  </si>
  <si>
    <t>80-90%</t>
  </si>
  <si>
    <t>B</t>
  </si>
  <si>
    <t>70-80%</t>
  </si>
  <si>
    <t>C</t>
  </si>
  <si>
    <t>Chantel</t>
  </si>
  <si>
    <t>60-70%</t>
  </si>
  <si>
    <t>D</t>
  </si>
  <si>
    <t>Stacey</t>
  </si>
  <si>
    <t>&lt;60%</t>
  </si>
  <si>
    <t>F</t>
  </si>
  <si>
    <t>Nancy</t>
  </si>
  <si>
    <t>Use IFS to assign the correct grade</t>
  </si>
  <si>
    <t>=IFS(Conditional test1, result 1, ….., Conditional testn, result n)</t>
  </si>
  <si>
    <t>Hint: use "TRUE" to create an else condition</t>
  </si>
  <si>
    <t>2.1.3 CHOOSE</t>
  </si>
  <si>
    <t>Clothing Type</t>
  </si>
  <si>
    <t>Size ID</t>
  </si>
  <si>
    <t>Size Lookup</t>
  </si>
  <si>
    <t>T shirt</t>
  </si>
  <si>
    <t>ID</t>
  </si>
  <si>
    <t>Jeans</t>
  </si>
  <si>
    <t>Sweater</t>
  </si>
  <si>
    <t>Medium</t>
  </si>
  <si>
    <t>Large</t>
  </si>
  <si>
    <t>Use CHOOSE to identify the correct size</t>
  </si>
  <si>
    <t>=CHOOSE( Decision index variable, response1, response2, …, response n)</t>
  </si>
  <si>
    <t>Name</t>
  </si>
  <si>
    <t>Role</t>
  </si>
  <si>
    <t>FTE Utilization Req</t>
  </si>
  <si>
    <t>FTE Req</t>
  </si>
  <si>
    <t>Micah</t>
  </si>
  <si>
    <t>Manager</t>
  </si>
  <si>
    <t>Associate</t>
  </si>
  <si>
    <t>Partner</t>
  </si>
  <si>
    <t>Steve</t>
  </si>
  <si>
    <t>Use SWITCH to Utlization Req</t>
  </si>
  <si>
    <t xml:space="preserve">Decision and Text Function </t>
  </si>
  <si>
    <t xml:space="preserve">Lookup Functions </t>
  </si>
  <si>
    <t>Chart Lookup</t>
  </si>
  <si>
    <t>Max</t>
  </si>
  <si>
    <t>Series</t>
  </si>
  <si>
    <t>2.3.2 Unique</t>
  </si>
  <si>
    <t>OrderDate</t>
  </si>
  <si>
    <t>Region</t>
  </si>
  <si>
    <t>Rep</t>
  </si>
  <si>
    <t>Item</t>
  </si>
  <si>
    <t>Units</t>
  </si>
  <si>
    <t>Unit Cost</t>
  </si>
  <si>
    <t>Total</t>
  </si>
  <si>
    <t>Jones</t>
  </si>
  <si>
    <t>Pencil</t>
  </si>
  <si>
    <t>Use FILTER to display only table data where item = Pencil</t>
  </si>
  <si>
    <t>Central</t>
  </si>
  <si>
    <t>Kivell</t>
  </si>
  <si>
    <t>Binder</t>
  </si>
  <si>
    <t>Jardine</t>
  </si>
  <si>
    <t>Gill</t>
  </si>
  <si>
    <t>Pen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</si>
  <si>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</si>
  <si>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</si>
  <si>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</si>
  <si>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</si>
  <si>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</si>
  <si>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</si>
  <si>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</si>
  <si>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</si>
  <si>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</si>
  <si>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=FILTER(B4:H46,E4:E46="Binder")</t>
  </si>
  <si>
    <t>2.4.2 Space</t>
  </si>
  <si>
    <t xml:space="preserve">To do: </t>
  </si>
  <si>
    <t>Use the space operator to take the sum of South for Mark and Jeremy</t>
  </si>
  <si>
    <t>Sum of South for Mark</t>
  </si>
  <si>
    <t>2.4.2 Comma</t>
  </si>
  <si>
    <t>Use the space the union of Mark and Jeremy in the South region</t>
  </si>
  <si>
    <t>Answer</t>
  </si>
  <si>
    <t>2.3.1. Unique</t>
  </si>
  <si>
    <t>Value List</t>
  </si>
  <si>
    <t>Unique Contens</t>
  </si>
  <si>
    <t>To do: use unique to identify the unique values in the value list</t>
  </si>
  <si>
    <t>=UNIQUE()</t>
  </si>
  <si>
    <t>E</t>
  </si>
  <si>
    <t>January</t>
  </si>
  <si>
    <t>February</t>
  </si>
  <si>
    <t>March</t>
  </si>
  <si>
    <t>May</t>
  </si>
  <si>
    <t>June</t>
  </si>
  <si>
    <t>July</t>
  </si>
  <si>
    <t>To do: Give each column and row a name.</t>
  </si>
  <si>
    <t>Check Digits</t>
  </si>
  <si>
    <t>Q1. What were the total unit sales from April to Jun?</t>
  </si>
  <si>
    <t>Q2. What were the total unit sales in the North and West region?</t>
  </si>
  <si>
    <t>Q3. What were the total unit sales from March to May in the South region?</t>
  </si>
  <si>
    <t>Q4. What were the total unit sales in March in the southern region and June in the North region?</t>
  </si>
  <si>
    <t>Number of Clients</t>
  </si>
  <si>
    <t>Berry</t>
  </si>
  <si>
    <t>Terry</t>
  </si>
  <si>
    <t>Michaela</t>
  </si>
  <si>
    <t>Use SUMIF, COUNTIF, and AVERAGEIF</t>
  </si>
  <si>
    <t>Total Number of Clients for Managers</t>
  </si>
  <si>
    <t>Count of Assoicates</t>
  </si>
  <si>
    <t>Average Utilization for Partners</t>
  </si>
  <si>
    <t>2.1.3 DEMO</t>
  </si>
  <si>
    <t>Labels</t>
  </si>
  <si>
    <t>Average</t>
  </si>
  <si>
    <t>Sun</t>
  </si>
  <si>
    <t>Mon</t>
  </si>
  <si>
    <t>Tue</t>
  </si>
  <si>
    <t>Wed</t>
  </si>
  <si>
    <t>Thu</t>
  </si>
  <si>
    <t>Fri</t>
  </si>
  <si>
    <t>Sat</t>
  </si>
  <si>
    <t>Selected Column</t>
  </si>
  <si>
    <t>Selected Index</t>
  </si>
  <si>
    <t xml:space="preserve"> </t>
  </si>
  <si>
    <t>To do: create a lookup mechanism to plot a specific value on the chart</t>
  </si>
  <si>
    <t>x</t>
  </si>
  <si>
    <t>Values</t>
  </si>
  <si>
    <t>Solutions</t>
  </si>
  <si>
    <t>Formula</t>
  </si>
  <si>
    <t>Cat</t>
  </si>
  <si>
    <t>Concatenate</t>
  </si>
  <si>
    <t>Dog</t>
  </si>
  <si>
    <t>Ampersand ('&amp;')</t>
  </si>
  <si>
    <t>Rat</t>
  </si>
  <si>
    <t>TEXTJOIN</t>
  </si>
  <si>
    <t>Mouse</t>
  </si>
  <si>
    <t>Elephant</t>
  </si>
  <si>
    <t>Mosquito</t>
  </si>
  <si>
    <t>Zebra</t>
  </si>
  <si>
    <t>Horse</t>
  </si>
  <si>
    <t>Use LET and XLOOKUP to find the REP who sold the most.</t>
  </si>
  <si>
    <t xml:space="preserve">Max </t>
  </si>
  <si>
    <t>TextJoin</t>
  </si>
  <si>
    <t>Names</t>
  </si>
  <si>
    <t>Account No</t>
  </si>
  <si>
    <t>Amount Purchased</t>
  </si>
  <si>
    <t>Country</t>
  </si>
  <si>
    <t>Company</t>
  </si>
  <si>
    <t>Credit Card Number</t>
  </si>
  <si>
    <t>George</t>
  </si>
  <si>
    <t>BA210351939859618587</t>
  </si>
  <si>
    <t>Bermuda</t>
  </si>
  <si>
    <t>Gravida Aliquam Tincidunt Incorporated</t>
  </si>
  <si>
    <t>To Do:</t>
  </si>
  <si>
    <t>Hadassah</t>
  </si>
  <si>
    <t>GI31KOXT207619096574453</t>
  </si>
  <si>
    <t>Vanuatu</t>
  </si>
  <si>
    <t>Luctus Et Ltd</t>
  </si>
  <si>
    <t xml:space="preserve">Find the Maximum Amount Purchased, and who purchased it. </t>
  </si>
  <si>
    <t>Naomi</t>
  </si>
  <si>
    <t>CH1689076433090614536</t>
  </si>
  <si>
    <t>Togo</t>
  </si>
  <si>
    <t>Alden</t>
  </si>
  <si>
    <t>AE902480362575088302527</t>
  </si>
  <si>
    <t>Czech Republic</t>
  </si>
  <si>
    <t>Daniel</t>
  </si>
  <si>
    <t>FI3679589956062095</t>
  </si>
  <si>
    <t>Eritrea</t>
  </si>
  <si>
    <t>Harlan</t>
  </si>
  <si>
    <t>SK0311567361649544449169</t>
  </si>
  <si>
    <t>Romania</t>
  </si>
  <si>
    <t>Auctor LLP</t>
  </si>
  <si>
    <t>Nehru</t>
  </si>
  <si>
    <t>LB95848922229668873858179562</t>
  </si>
  <si>
    <t>Cambodia</t>
  </si>
  <si>
    <t>Company A</t>
  </si>
  <si>
    <t>Blake</t>
  </si>
  <si>
    <t>ES6768589864763846132488</t>
  </si>
  <si>
    <t>Gabon</t>
  </si>
  <si>
    <t>Aliquet Molestie Industries</t>
  </si>
  <si>
    <t>Cairo</t>
  </si>
  <si>
    <t>LT794692401010765176</t>
  </si>
  <si>
    <t>Enim Curabitur Massa Limited</t>
  </si>
  <si>
    <t>Cherokee</t>
  </si>
  <si>
    <t>SK6627388948560832204450</t>
  </si>
  <si>
    <t>Guatemala</t>
  </si>
  <si>
    <t>Vitae Velit Egestas LLC</t>
  </si>
  <si>
    <t>Melvin</t>
  </si>
  <si>
    <t>FO7237625468218929</t>
  </si>
  <si>
    <t>Sierra Leone</t>
  </si>
  <si>
    <t>Leilani</t>
  </si>
  <si>
    <t>FR4404342022903525236864916</t>
  </si>
  <si>
    <t>Malawi</t>
  </si>
  <si>
    <t>Feugiat Nec Inc.</t>
  </si>
  <si>
    <t>Rhonda</t>
  </si>
  <si>
    <t>LT843667100623500783</t>
  </si>
  <si>
    <t>Tonga</t>
  </si>
  <si>
    <t>Jael</t>
  </si>
  <si>
    <t>CY62528713798633095377827233</t>
  </si>
  <si>
    <t>Curaçao</t>
  </si>
  <si>
    <t>Sacha</t>
  </si>
  <si>
    <t>DK6507485233474506</t>
  </si>
  <si>
    <t>Winter</t>
  </si>
  <si>
    <t>PK1068076089878172088201</t>
  </si>
  <si>
    <t>Slovakia</t>
  </si>
  <si>
    <t>Kibo</t>
  </si>
  <si>
    <t>DO83258407557630680393792077</t>
  </si>
  <si>
    <t>Latvia</t>
  </si>
  <si>
    <t>Auctor Corp.</t>
  </si>
  <si>
    <t>Malachi</t>
  </si>
  <si>
    <t>HU86921189583812280459503775</t>
  </si>
  <si>
    <t>Bonaire, Sint Eustatius and Saba</t>
  </si>
  <si>
    <t>Sodales Purus PC</t>
  </si>
  <si>
    <t>Griffin</t>
  </si>
  <si>
    <t>FI3152586365644037</t>
  </si>
  <si>
    <t>Paraguay</t>
  </si>
  <si>
    <t>Curabitur Sed Industries</t>
  </si>
  <si>
    <t>Cody</t>
  </si>
  <si>
    <t>PT46197986803729625397037</t>
  </si>
  <si>
    <t>Cape Verde</t>
  </si>
  <si>
    <t>Ralph</t>
  </si>
  <si>
    <t>FR7138769041622008934179542</t>
  </si>
  <si>
    <t>Djibouti</t>
  </si>
  <si>
    <t>Yoshio</t>
  </si>
  <si>
    <t>CR7516917377311636357</t>
  </si>
  <si>
    <t>Saint Barthélemy</t>
  </si>
  <si>
    <t>Beau</t>
  </si>
  <si>
    <t>LB72777887179275280994057777</t>
  </si>
  <si>
    <t>Timor-Leste</t>
  </si>
  <si>
    <t>Burke</t>
  </si>
  <si>
    <t>AE148693647495101477835</t>
  </si>
  <si>
    <t>Morocco</t>
  </si>
  <si>
    <t>Sodales Limited</t>
  </si>
  <si>
    <t>Gisela</t>
  </si>
  <si>
    <t>LB06875345275621417538855703</t>
  </si>
  <si>
    <t>Afghanistan</t>
  </si>
  <si>
    <t>Non Lacinia Institute</t>
  </si>
  <si>
    <t>Jakeem</t>
  </si>
  <si>
    <t>LB89215452186250239619776532</t>
  </si>
  <si>
    <t>Saint Lucia</t>
  </si>
  <si>
    <t>Plato</t>
  </si>
  <si>
    <t>CH8411108485627446762</t>
  </si>
  <si>
    <t>Venezuela</t>
  </si>
  <si>
    <t>Hop</t>
  </si>
  <si>
    <t>LT143896165799265575</t>
  </si>
  <si>
    <t>Silas</t>
  </si>
  <si>
    <t>SA8973646202683750007118</t>
  </si>
  <si>
    <t>Korea, South</t>
  </si>
  <si>
    <t>Turpis Consulting</t>
  </si>
  <si>
    <t>Regan</t>
  </si>
  <si>
    <t>AT498489988745772003</t>
  </si>
  <si>
    <t>Mayotte</t>
  </si>
  <si>
    <t>Euismod Ac Company</t>
  </si>
  <si>
    <t>Tanisha</t>
  </si>
  <si>
    <t>LI3063486068919421479</t>
  </si>
  <si>
    <t>Peru</t>
  </si>
  <si>
    <t>Et Pede Nunc Corp.</t>
  </si>
  <si>
    <t>Raya</t>
  </si>
  <si>
    <t>LB14054946257754043131671783</t>
  </si>
  <si>
    <t>Switzerland</t>
  </si>
  <si>
    <t>In Associates</t>
  </si>
  <si>
    <t>Brenda</t>
  </si>
  <si>
    <t>SK2101450873054104537849</t>
  </si>
  <si>
    <t>Guernsey</t>
  </si>
  <si>
    <t>In Faucibus Orci Industries</t>
  </si>
  <si>
    <t>Kalia</t>
  </si>
  <si>
    <t>RO65VFTE3427184432180187</t>
  </si>
  <si>
    <t>Trinidad and Tobago</t>
  </si>
  <si>
    <t>SA9327787762326738666899</t>
  </si>
  <si>
    <t>Isle of Man</t>
  </si>
  <si>
    <t>Brynne</t>
  </si>
  <si>
    <t>ME18287633227991022064</t>
  </si>
  <si>
    <t>Holy See (Vatican City State)</t>
  </si>
  <si>
    <t>Victor</t>
  </si>
  <si>
    <t>LI8374496268126183590</t>
  </si>
  <si>
    <t>British Indian Ocean Territory</t>
  </si>
  <si>
    <t>Gail</t>
  </si>
  <si>
    <t>ME70190751340610301130</t>
  </si>
  <si>
    <t>Saint Helena, Ascension and Tristan da Cunha</t>
  </si>
  <si>
    <t>Rutrum Justo Praesent Company</t>
  </si>
  <si>
    <t>Nevada</t>
  </si>
  <si>
    <t>HR2637420381522626371</t>
  </si>
  <si>
    <t>Saint Martin</t>
  </si>
  <si>
    <t>Semper Et Lacinia Inc.</t>
  </si>
  <si>
    <t>Eagan</t>
  </si>
  <si>
    <t>LI1204580745568613991</t>
  </si>
  <si>
    <t>Maldives</t>
  </si>
  <si>
    <t>Pede Nunc Corporation</t>
  </si>
  <si>
    <t>Ray</t>
  </si>
  <si>
    <t>IS679277980789958969386580</t>
  </si>
  <si>
    <t>Madagascar</t>
  </si>
  <si>
    <t>Ipsum Nunc Id Industries</t>
  </si>
  <si>
    <t>Warren</t>
  </si>
  <si>
    <t>LV05OSXH5972123835296</t>
  </si>
  <si>
    <t>Ethiopia</t>
  </si>
  <si>
    <t>Lorem Tristique Aliquet Associates</t>
  </si>
  <si>
    <t>Blythe</t>
  </si>
  <si>
    <t>IE74IUHT18008988417655</t>
  </si>
  <si>
    <t>Micronesia</t>
  </si>
  <si>
    <t>Orci Luctus LLP</t>
  </si>
  <si>
    <t>Madeline</t>
  </si>
  <si>
    <t>IT606XGDWI94492287903142844</t>
  </si>
  <si>
    <t>Guinea-Bissau</t>
  </si>
  <si>
    <t>Sodales Purus In Ltd</t>
  </si>
  <si>
    <t>Linus</t>
  </si>
  <si>
    <t>KZ934396116985361541</t>
  </si>
  <si>
    <t>Australia</t>
  </si>
  <si>
    <t>Pretium PC</t>
  </si>
  <si>
    <t>Joy</t>
  </si>
  <si>
    <t>GT93461634399831005177375050</t>
  </si>
  <si>
    <t>Tokelau</t>
  </si>
  <si>
    <t>Luctus Foundation</t>
  </si>
  <si>
    <t>Madeson</t>
  </si>
  <si>
    <t>AD8936737458524405371346</t>
  </si>
  <si>
    <t>Austria</t>
  </si>
  <si>
    <t xml:space="preserve">Use the name box to name a cell quickly. </t>
  </si>
  <si>
    <t>Remember:</t>
  </si>
  <si>
    <t>Use only well named ranges - no engineering type names</t>
  </si>
  <si>
    <t>Range names can include a dot</t>
  </si>
  <si>
    <t>Use the Name Manager (Formulas &gt; Name Manager) to edit named ranges</t>
  </si>
  <si>
    <t>Named ranges allow you to refactor</t>
  </si>
  <si>
    <t>Scoping matters!</t>
  </si>
  <si>
    <t xml:space="preserve">Max Value </t>
  </si>
  <si>
    <t xml:space="preserve">Purchases </t>
  </si>
  <si>
    <t>Purchases</t>
  </si>
  <si>
    <t>Min Value</t>
  </si>
  <si>
    <t>`</t>
  </si>
  <si>
    <t>Unique</t>
  </si>
  <si>
    <t>Record Count</t>
  </si>
  <si>
    <t>Formula Text</t>
  </si>
  <si>
    <t>Company Name</t>
  </si>
  <si>
    <t>Date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</si>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</sst>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;@"/>
    <numFmt numFmtId="165" formatCode="hAM/PM"/>
  </numFmts>
  <fonts count="3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0"/>
      <name val="Goudy Old Style"/>
      <family val="1"/>
    </font>
    <font>
      <sz val="12"/>
      <color theme="0"/>
      <name val="Calibri"/>
      <family val="2"/>
      <scheme val="minor"/>
    </font>
    <font>
      <sz val="26"/>
      <color rgb="FF635123"/>
      <name val="Gabriola"/>
      <family val="5"/>
    </font>
    <font>
      <b/>
      <sz val="14"/>
      <color theme="1"/>
      <name val="Gabriola"/>
      <family val="5"/>
    </font>
    <font>
      <sz val="12"/>
      <color rgb="FF635123"/>
      <name val="Gabriola"/>
      <family val="5"/>
    </font>
    <font>
      <b/>
      <sz val="13"/>
      <color theme="1"/>
      <name val="Gabriola"/>
      <family val="5"/>
    </font>
    <font>
      <b/>
      <sz val="12"/>
      <color theme="1"/>
      <name val="Gabriola"/>
      <family val="5"/>
    </font>
    <font>
      <sz val="12"/>
      <color theme="1"/>
      <name val="Gabriola"/>
      <family val="5"/>
    </font>
    <font>
      <b/>
      <sz val="20"/>
      <color theme="1"/>
      <name val="Calibri"/>
      <family val="2"/>
      <scheme val="minor"/>
    </font>
    <font>
      <b/>
      <sz val="20"/>
      <color theme="1"/>
      <name val="Gabriola"/>
      <family val="5"/>
    </font>
    <font>
      <sz val="18"/>
      <color rgb="FF635123"/>
      <name val="Gabriola"/>
      <family val="5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48"/>
      <color rgb="FFFFFF00"/>
      <name val="Times New Roman"/>
      <family val="1"/>
    </font>
    <font>
      <b/>
      <sz val="13"/>
      <name val="Calibri"/>
      <family val="2"/>
      <scheme val="minor"/>
    </font>
    <font>
      <b/>
      <sz val="13"/>
      <name val="Gabriola"/>
      <family val="5"/>
    </font>
    <font>
      <b/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5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Gabriola"/>
      <family val="5"/>
    </font>
    <font>
      <b/>
      <sz val="11"/>
      <color theme="1"/>
      <name val="Gabriola"/>
      <family val="5"/>
    </font>
    <font>
      <sz val="11"/>
      <color rgb="FF002060"/>
      <name val="Calibri"/>
      <family val="2"/>
      <scheme val="minor"/>
    </font>
    <font>
      <b/>
      <i/>
      <sz val="11"/>
      <color theme="1"/>
      <name val="Times New Roman"/>
      <family val="1"/>
    </font>
    <font>
      <sz val="11"/>
      <color theme="1"/>
      <name val="Segoe UI"/>
      <family val="2"/>
    </font>
    <font>
      <b/>
      <i/>
      <sz val="11"/>
      <color theme="1"/>
      <name val="Cambria"/>
      <family val="1"/>
    </font>
    <font>
      <b/>
      <sz val="11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CCB27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theme="9"/>
      </patternFill>
    </fill>
  </fills>
  <borders count="3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179">
    <xf numFmtId="0" fontId="0" fillId="0" borderId="0" xfId="0"/>
    <xf numFmtId="0" fontId="2" fillId="0" borderId="0" xfId="1" applyFont="1"/>
    <xf numFmtId="0" fontId="1" fillId="0" borderId="0" xfId="1"/>
    <xf numFmtId="0" fontId="1" fillId="2" borderId="0" xfId="1" applyFill="1"/>
    <xf numFmtId="0" fontId="3" fillId="2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5" fillId="0" borderId="0" xfId="1" applyFont="1" applyAlignment="1">
      <alignment horizontal="left" vertical="top" indent="1"/>
    </xf>
    <xf numFmtId="0" fontId="6" fillId="2" borderId="0" xfId="1" applyFont="1" applyFill="1" applyAlignment="1">
      <alignment horizontal="right"/>
    </xf>
    <xf numFmtId="0" fontId="7" fillId="2" borderId="0" xfId="1" applyFont="1" applyFill="1" applyAlignment="1">
      <alignment vertical="top"/>
    </xf>
    <xf numFmtId="0" fontId="8" fillId="2" borderId="0" xfId="1" applyFont="1" applyFill="1" applyAlignment="1">
      <alignment horizontal="left" vertical="top" indent="1"/>
    </xf>
    <xf numFmtId="0" fontId="8" fillId="2" borderId="0" xfId="1" applyFont="1" applyFill="1" applyAlignment="1">
      <alignment vertical="top"/>
    </xf>
    <xf numFmtId="0" fontId="1" fillId="0" borderId="1" xfId="1" applyBorder="1" applyAlignment="1">
      <alignment horizontal="left" vertical="center"/>
    </xf>
    <xf numFmtId="0" fontId="2" fillId="0" borderId="1" xfId="1" applyFont="1" applyBorder="1" applyAlignment="1">
      <alignment vertical="center"/>
    </xf>
    <xf numFmtId="0" fontId="1" fillId="0" borderId="1" xfId="1" applyBorder="1"/>
    <xf numFmtId="0" fontId="1" fillId="0" borderId="0" xfId="1" quotePrefix="1"/>
    <xf numFmtId="0" fontId="7" fillId="2" borderId="0" xfId="1" applyFont="1" applyFill="1" applyAlignment="1">
      <alignment horizontal="right"/>
    </xf>
    <xf numFmtId="0" fontId="7" fillId="2" borderId="0" xfId="1" applyFont="1" applyFill="1" applyAlignment="1">
      <alignment horizontal="left" vertical="top" indent="1"/>
    </xf>
    <xf numFmtId="0" fontId="9" fillId="0" borderId="1" xfId="1" applyFont="1" applyBorder="1" applyAlignment="1">
      <alignment vertical="center"/>
    </xf>
    <xf numFmtId="0" fontId="10" fillId="0" borderId="0" xfId="1" applyFont="1"/>
    <xf numFmtId="0" fontId="9" fillId="0" borderId="1" xfId="1" applyFont="1" applyBorder="1"/>
    <xf numFmtId="0" fontId="1" fillId="0" borderId="2" xfId="1" applyBorder="1"/>
    <xf numFmtId="0" fontId="6" fillId="0" borderId="2" xfId="1" applyFont="1" applyBorder="1"/>
    <xf numFmtId="0" fontId="1" fillId="0" borderId="3" xfId="1" applyBorder="1"/>
    <xf numFmtId="0" fontId="2" fillId="0" borderId="4" xfId="1" applyFont="1" applyBorder="1"/>
    <xf numFmtId="0" fontId="1" fillId="0" borderId="5" xfId="1" applyBorder="1"/>
    <xf numFmtId="0" fontId="2" fillId="0" borderId="6" xfId="1" applyFont="1" applyBorder="1"/>
    <xf numFmtId="0" fontId="1" fillId="0" borderId="7" xfId="1" applyBorder="1"/>
    <xf numFmtId="0" fontId="2" fillId="0" borderId="8" xfId="1" applyFont="1" applyBorder="1"/>
    <xf numFmtId="0" fontId="1" fillId="0" borderId="4" xfId="1" applyBorder="1"/>
    <xf numFmtId="0" fontId="1" fillId="0" borderId="6" xfId="1" applyBorder="1"/>
    <xf numFmtId="0" fontId="1" fillId="0" borderId="8" xfId="1" applyBorder="1"/>
    <xf numFmtId="0" fontId="11" fillId="2" borderId="0" xfId="1" applyFont="1" applyFill="1"/>
    <xf numFmtId="0" fontId="12" fillId="2" borderId="0" xfId="1" applyFont="1" applyFill="1" applyAlignment="1">
      <alignment horizontal="right"/>
    </xf>
    <xf numFmtId="0" fontId="13" fillId="2" borderId="0" xfId="1" applyFont="1" applyFill="1" applyAlignment="1">
      <alignment vertical="top"/>
    </xf>
    <xf numFmtId="0" fontId="12" fillId="2" borderId="0" xfId="1" applyFont="1" applyFill="1" applyAlignment="1">
      <alignment horizontal="left" vertical="top" indent="1"/>
    </xf>
    <xf numFmtId="0" fontId="12" fillId="2" borderId="0" xfId="1" applyFont="1" applyFill="1" applyAlignment="1">
      <alignment vertical="top"/>
    </xf>
    <xf numFmtId="0" fontId="14" fillId="2" borderId="0" xfId="1" applyFont="1" applyFill="1"/>
    <xf numFmtId="0" fontId="1" fillId="0" borderId="2" xfId="1" applyBorder="1" applyAlignment="1">
      <alignment horizontal="left" vertical="center"/>
    </xf>
    <xf numFmtId="0" fontId="0" fillId="0" borderId="2" xfId="0" applyBorder="1"/>
    <xf numFmtId="0" fontId="1" fillId="0" borderId="2" xfId="1" applyBorder="1" applyAlignment="1">
      <alignment vertical="center"/>
    </xf>
    <xf numFmtId="0" fontId="16" fillId="0" borderId="0" xfId="0" applyFont="1"/>
    <xf numFmtId="0" fontId="1" fillId="0" borderId="0" xfId="0" applyFont="1"/>
    <xf numFmtId="0" fontId="18" fillId="0" borderId="9" xfId="0" applyFont="1" applyBorder="1"/>
    <xf numFmtId="0" fontId="18" fillId="0" borderId="0" xfId="0" applyFont="1"/>
    <xf numFmtId="0" fontId="17" fillId="4" borderId="0" xfId="0" applyFont="1" applyFill="1"/>
    <xf numFmtId="0" fontId="0" fillId="0" borderId="0" xfId="0" applyAlignment="1">
      <alignment horizontal="right"/>
    </xf>
    <xf numFmtId="0" fontId="18" fillId="5" borderId="0" xfId="0" applyFont="1" applyFill="1"/>
    <xf numFmtId="0" fontId="17" fillId="6" borderId="0" xfId="0" applyFont="1" applyFill="1"/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1" applyFont="1" applyBorder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" fillId="3" borderId="0" xfId="0" applyFont="1" applyFill="1"/>
    <xf numFmtId="0" fontId="16" fillId="7" borderId="0" xfId="0" applyFont="1" applyFill="1"/>
    <xf numFmtId="0" fontId="19" fillId="0" borderId="2" xfId="0" applyFont="1" applyBorder="1"/>
    <xf numFmtId="0" fontId="1" fillId="0" borderId="2" xfId="0" applyFont="1" applyBorder="1"/>
    <xf numFmtId="0" fontId="19" fillId="0" borderId="2" xfId="0" applyFont="1" applyBorder="1" applyAlignment="1">
      <alignment horizontal="left"/>
    </xf>
    <xf numFmtId="0" fontId="18" fillId="0" borderId="2" xfId="0" applyFont="1" applyBorder="1"/>
    <xf numFmtId="0" fontId="18" fillId="0" borderId="9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quotePrefix="1"/>
    <xf numFmtId="0" fontId="0" fillId="8" borderId="0" xfId="0" applyFill="1"/>
    <xf numFmtId="0" fontId="18" fillId="0" borderId="9" xfId="0" applyFont="1" applyBorder="1" applyAlignment="1">
      <alignment horizontal="left"/>
    </xf>
    <xf numFmtId="0" fontId="18" fillId="0" borderId="9" xfId="0" applyFont="1" applyBorder="1" applyAlignment="1">
      <alignment horizontal="right"/>
    </xf>
    <xf numFmtId="0" fontId="0" fillId="0" borderId="2" xfId="0" applyBorder="1" applyAlignment="1">
      <alignment horizontal="left"/>
    </xf>
    <xf numFmtId="9" fontId="0" fillId="0" borderId="2" xfId="0" applyNumberFormat="1" applyBorder="1" applyAlignment="1">
      <alignment horizontal="right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8" fillId="3" borderId="2" xfId="0" applyFont="1" applyFill="1" applyBorder="1"/>
    <xf numFmtId="9" fontId="0" fillId="0" borderId="2" xfId="3" applyFont="1" applyBorder="1"/>
    <xf numFmtId="9" fontId="0" fillId="0" borderId="2" xfId="0" applyNumberFormat="1" applyBorder="1"/>
    <xf numFmtId="0" fontId="0" fillId="10" borderId="0" xfId="0" applyFill="1"/>
    <xf numFmtId="0" fontId="22" fillId="2" borderId="0" xfId="1" applyFont="1" applyFill="1"/>
    <xf numFmtId="0" fontId="23" fillId="2" borderId="0" xfId="1" applyFont="1" applyFill="1" applyAlignment="1">
      <alignment horizontal="right"/>
    </xf>
    <xf numFmtId="0" fontId="23" fillId="2" borderId="0" xfId="1" applyFont="1" applyFill="1" applyAlignment="1">
      <alignment horizontal="left" vertical="top" indent="1"/>
    </xf>
    <xf numFmtId="0" fontId="23" fillId="2" borderId="0" xfId="1" applyFont="1" applyFill="1" applyAlignment="1">
      <alignment vertical="top"/>
    </xf>
    <xf numFmtId="0" fontId="6" fillId="0" borderId="1" xfId="1" applyFont="1" applyBorder="1"/>
    <xf numFmtId="0" fontId="6" fillId="0" borderId="0" xfId="1" applyFont="1"/>
    <xf numFmtId="0" fontId="15" fillId="0" borderId="2" xfId="0" applyFont="1" applyBorder="1"/>
    <xf numFmtId="0" fontId="15" fillId="0" borderId="2" xfId="0" applyFont="1" applyBorder="1" applyAlignment="1">
      <alignment horizontal="right"/>
    </xf>
    <xf numFmtId="0" fontId="15" fillId="0" borderId="2" xfId="1" applyFont="1" applyBorder="1"/>
    <xf numFmtId="0" fontId="0" fillId="3" borderId="0" xfId="0" applyFill="1"/>
    <xf numFmtId="0" fontId="13" fillId="2" borderId="0" xfId="1" applyFont="1" applyFill="1" applyAlignment="1">
      <alignment horizontal="right"/>
    </xf>
    <xf numFmtId="0" fontId="13" fillId="2" borderId="0" xfId="1" applyFont="1" applyFill="1" applyAlignment="1">
      <alignment horizontal="left" vertical="top" indent="1"/>
    </xf>
    <xf numFmtId="0" fontId="1" fillId="0" borderId="1" xfId="1" applyBorder="1" applyAlignment="1">
      <alignment vertical="center"/>
    </xf>
    <xf numFmtId="0" fontId="17" fillId="11" borderId="10" xfId="0" applyFont="1" applyFill="1" applyBorder="1" applyAlignment="1">
      <alignment horizontal="center" vertical="center"/>
    </xf>
    <xf numFmtId="1" fontId="17" fillId="11" borderId="11" xfId="0" applyNumberFormat="1" applyFont="1" applyFill="1" applyBorder="1" applyAlignment="1">
      <alignment horizontal="left" vertical="center"/>
    </xf>
    <xf numFmtId="0" fontId="17" fillId="11" borderId="11" xfId="0" applyFont="1" applyFill="1" applyBorder="1" applyAlignment="1">
      <alignment horizontal="left" vertical="center"/>
    </xf>
    <xf numFmtId="0" fontId="17" fillId="11" borderId="12" xfId="0" applyFont="1" applyFill="1" applyBorder="1" applyAlignment="1">
      <alignment horizontal="left" vertical="center"/>
    </xf>
    <xf numFmtId="16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left" vertical="center"/>
    </xf>
    <xf numFmtId="43" fontId="0" fillId="0" borderId="11" xfId="2" applyFont="1" applyBorder="1" applyAlignment="1">
      <alignment horizontal="left" vertical="center"/>
    </xf>
    <xf numFmtId="43" fontId="0" fillId="0" borderId="12" xfId="2" applyFon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left" vertical="center"/>
    </xf>
    <xf numFmtId="43" fontId="0" fillId="0" borderId="14" xfId="2" applyFont="1" applyBorder="1" applyAlignment="1">
      <alignment horizontal="left" vertical="center"/>
    </xf>
    <xf numFmtId="43" fontId="0" fillId="0" borderId="15" xfId="2" applyFont="1" applyBorder="1" applyAlignment="1">
      <alignment vertical="center"/>
    </xf>
    <xf numFmtId="0" fontId="0" fillId="0" borderId="16" xfId="0" applyBorder="1"/>
    <xf numFmtId="0" fontId="0" fillId="0" borderId="2" xfId="3" applyNumberFormat="1" applyFont="1" applyBorder="1"/>
    <xf numFmtId="0" fontId="17" fillId="12" borderId="17" xfId="0" applyFont="1" applyFill="1" applyBorder="1" applyAlignment="1">
      <alignment horizontal="right"/>
    </xf>
    <xf numFmtId="0" fontId="17" fillId="12" borderId="18" xfId="0" applyFont="1" applyFill="1" applyBorder="1" applyAlignment="1">
      <alignment horizontal="right"/>
    </xf>
    <xf numFmtId="0" fontId="17" fillId="12" borderId="19" xfId="0" applyFont="1" applyFill="1" applyBorder="1" applyAlignment="1">
      <alignment horizontal="right"/>
    </xf>
    <xf numFmtId="0" fontId="18" fillId="9" borderId="0" xfId="0" applyFont="1" applyFill="1" applyAlignment="1">
      <alignment horizontal="right"/>
    </xf>
    <xf numFmtId="0" fontId="0" fillId="0" borderId="17" xfId="0" applyBorder="1"/>
    <xf numFmtId="0" fontId="0" fillId="0" borderId="18" xfId="0" applyBorder="1"/>
    <xf numFmtId="1" fontId="0" fillId="0" borderId="18" xfId="0" applyNumberFormat="1" applyBorder="1"/>
    <xf numFmtId="0" fontId="0" fillId="0" borderId="19" xfId="0" applyBorder="1"/>
    <xf numFmtId="165" fontId="0" fillId="0" borderId="18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8" borderId="2" xfId="0" applyFill="1" applyBorder="1"/>
    <xf numFmtId="9" fontId="0" fillId="8" borderId="2" xfId="3" applyFont="1" applyFill="1" applyBorder="1"/>
    <xf numFmtId="0" fontId="0" fillId="13" borderId="16" xfId="0" applyFill="1" applyBorder="1"/>
    <xf numFmtId="0" fontId="17" fillId="12" borderId="24" xfId="0" applyFont="1" applyFill="1" applyBorder="1"/>
    <xf numFmtId="0" fontId="18" fillId="8" borderId="0" xfId="0" applyFont="1" applyFill="1"/>
    <xf numFmtId="0" fontId="0" fillId="0" borderId="24" xfId="0" applyBorder="1"/>
    <xf numFmtId="0" fontId="0" fillId="0" borderId="25" xfId="0" applyBorder="1"/>
    <xf numFmtId="43" fontId="0" fillId="0" borderId="11" xfId="4" applyFont="1" applyBorder="1" applyAlignment="1">
      <alignment horizontal="left" vertical="center"/>
    </xf>
    <xf numFmtId="43" fontId="0" fillId="0" borderId="12" xfId="4" applyFont="1" applyBorder="1" applyAlignment="1">
      <alignment vertical="center"/>
    </xf>
    <xf numFmtId="14" fontId="0" fillId="14" borderId="0" xfId="0" applyNumberFormat="1" applyFill="1"/>
    <xf numFmtId="14" fontId="0" fillId="0" borderId="0" xfId="0" applyNumberFormat="1"/>
    <xf numFmtId="43" fontId="0" fillId="0" borderId="14" xfId="4" applyFont="1" applyBorder="1" applyAlignment="1">
      <alignment horizontal="left" vertical="center"/>
    </xf>
    <xf numFmtId="43" fontId="0" fillId="0" borderId="15" xfId="4" applyFont="1" applyBorder="1" applyAlignment="1">
      <alignment vertical="center"/>
    </xf>
    <xf numFmtId="164" fontId="0" fillId="0" borderId="26" xfId="0" applyNumberForma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left" vertical="center"/>
    </xf>
    <xf numFmtId="43" fontId="0" fillId="0" borderId="27" xfId="4" applyFont="1" applyBorder="1" applyAlignment="1">
      <alignment horizontal="left" vertical="center"/>
    </xf>
    <xf numFmtId="43" fontId="0" fillId="0" borderId="28" xfId="4" applyFont="1" applyBorder="1" applyAlignment="1">
      <alignment vertical="center"/>
    </xf>
    <xf numFmtId="0" fontId="26" fillId="0" borderId="0" xfId="0" applyFont="1" applyAlignment="1">
      <alignment wrapText="1"/>
    </xf>
    <xf numFmtId="0" fontId="27" fillId="0" borderId="0" xfId="0" applyFont="1"/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30" fillId="0" borderId="24" xfId="0" applyFont="1" applyBorder="1"/>
    <xf numFmtId="0" fontId="30" fillId="0" borderId="25" xfId="0" applyFont="1" applyBorder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17" fillId="15" borderId="29" xfId="0" applyFont="1" applyFill="1" applyBorder="1"/>
    <xf numFmtId="0" fontId="17" fillId="15" borderId="30" xfId="0" applyFont="1" applyFill="1" applyBorder="1"/>
    <xf numFmtId="0" fontId="17" fillId="15" borderId="31" xfId="0" applyFont="1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36" fillId="0" borderId="0" xfId="0" applyFont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5" fillId="0" borderId="2" xfId="1" applyFont="1" applyBorder="1"/>
    <xf numFmtId="0" fontId="2" fillId="0" borderId="2" xfId="1" applyFont="1" applyBorder="1"/>
    <xf numFmtId="0" fontId="37" fillId="0" borderId="0" xfId="0" applyFont="1"/>
    <xf numFmtId="0" fontId="37" fillId="3" borderId="0" xfId="0" applyFont="1" applyFill="1"/>
    <xf numFmtId="0" fontId="31" fillId="3" borderId="0" xfId="0" applyFont="1" applyFill="1"/>
    <xf numFmtId="0" fontId="31" fillId="3" borderId="2" xfId="0" applyFont="1" applyFill="1" applyBorder="1"/>
    <xf numFmtId="0" fontId="18" fillId="0" borderId="9" xfId="0" applyFont="1" applyBorder="1" applyAlignment="1">
      <alignment horizontal="center" wrapText="1"/>
    </xf>
    <xf numFmtId="0" fontId="18" fillId="0" borderId="0" xfId="0" applyFont="1" applyAlignment="1">
      <alignment horizontal="right"/>
    </xf>
    <xf numFmtId="0" fontId="17" fillId="15" borderId="0" xfId="0" applyFont="1" applyFill="1"/>
    <xf numFmtId="0" fontId="38" fillId="0" borderId="0" xfId="0" applyFont="1" applyAlignment="1">
      <alignment horizontal="right"/>
    </xf>
    <xf numFmtId="0" fontId="18" fillId="0" borderId="29" xfId="0" applyFont="1" applyBorder="1"/>
    <xf numFmtId="0" fontId="15" fillId="0" borderId="0" xfId="1" applyFont="1"/>
    <xf numFmtId="0" fontId="15" fillId="0" borderId="0" xfId="0" applyFont="1"/>
    <xf numFmtId="0" fontId="1" fillId="0" borderId="0" xfId="1" applyAlignment="1">
      <alignment horizontal="left"/>
    </xf>
    <xf numFmtId="0" fontId="21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0" borderId="0" xfId="0" applyFont="1" applyAlignment="1">
      <alignment horizontal="center"/>
    </xf>
    <xf numFmtId="0" fontId="24" fillId="0" borderId="2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0" xfId="0" applyBorder="1" applyAlignment="1">
      <alignment horizontal="left"/>
    </xf>
  </cellXfs>
  <cellStyles count="5">
    <cellStyle name="Comma" xfId="2" builtinId="3"/>
    <cellStyle name="Comma 2" xfId="4" xr:uid="{BF571592-008E-479F-8493-DD3742F96850}"/>
    <cellStyle name="Normal" xfId="0" builtinId="0"/>
    <cellStyle name="Normal 2" xfId="1" xr:uid="{D0F68BED-A6DD-4B41-B812-A141C552E7D6}"/>
    <cellStyle name="Percent" xfId="3" builtinId="5"/>
  </cellStyles>
  <dxfs count="8"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'Raw Data'!$B$9</c:f>
          <c:strCache>
            <c:ptCount val="1"/>
            <c:pt idx="0">
              <c:v>Sarah</c:v>
            </c:pt>
          </c:strCache>
        </c:strRef>
      </c:tx>
      <c:layout>
        <c:manualLayout>
          <c:xMode val="edge"/>
          <c:yMode val="edge"/>
          <c:x val="0.48711676372754092"/>
          <c:y val="1.1912943585176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42579830249058E-2"/>
          <c:y val="4.3680793145648711E-2"/>
          <c:w val="0.88994993579207238"/>
          <c:h val="0.82101443248425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'Raw Data'!$B$9</c:f>
              <c:strCache>
                <c:ptCount val="1"/>
                <c:pt idx="0">
                  <c:v>Sarah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'Raw Data'!$C$2:$F$2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'Raw Data'!$C$9:$F$9</c:f>
              <c:numCache>
                <c:formatCode>General</c:formatCode>
                <c:ptCount val="4"/>
                <c:pt idx="0">
                  <c:v>838</c:v>
                </c:pt>
                <c:pt idx="1">
                  <c:v>461</c:v>
                </c:pt>
                <c:pt idx="2">
                  <c:v>646</c:v>
                </c:pt>
                <c:pt idx="3">
                  <c:v>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E-4781-ACC6-A374C14697C5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'Raw Data'!$C$2:$F$2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'Raw Data'!$C$18:$F$18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D-48A4-A16E-B1B65B52A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overlap val="100"/>
        <c:axId val="1753076688"/>
        <c:axId val="1753066608"/>
      </c:barChart>
      <c:catAx>
        <c:axId val="175307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66608"/>
        <c:crosses val="autoZero"/>
        <c:auto val="1"/>
        <c:lblAlgn val="ctr"/>
        <c:lblOffset val="100"/>
        <c:noMultiLvlLbl val="0"/>
      </c:catAx>
      <c:valAx>
        <c:axId val="175306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7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310890444922132"/>
          <c:y val="0.92901824212479389"/>
          <c:w val="0.42168452314927063"/>
          <c:h val="6.70107766801471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'Raw Data'!$B$11</c:f>
          <c:strCache>
            <c:ptCount val="1"/>
            <c:pt idx="0">
              <c:v>Jeremy</c:v>
            </c:pt>
          </c:strCache>
        </c:strRef>
      </c:tx>
      <c:layout>
        <c:manualLayout>
          <c:xMode val="edge"/>
          <c:yMode val="edge"/>
          <c:x val="0.46253171881346417"/>
          <c:y val="0.913436575516908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701714064360962E-2"/>
          <c:y val="2.267702221452994E-2"/>
          <c:w val="0.88602359475978698"/>
          <c:h val="0.848811300849664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'Raw Data'!$B$11</c:f>
              <c:strCache>
                <c:ptCount val="1"/>
                <c:pt idx="0">
                  <c:v>Jeremy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'Raw Data'!$C$11:$F$11</c:f>
              <c:numCache>
                <c:formatCode>General</c:formatCode>
                <c:ptCount val="4"/>
                <c:pt idx="0">
                  <c:v>777</c:v>
                </c:pt>
                <c:pt idx="1">
                  <c:v>893</c:v>
                </c:pt>
                <c:pt idx="2">
                  <c:v>647</c:v>
                </c:pt>
                <c:pt idx="3">
                  <c:v>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1-40E5-8F3E-EB93E97D0897}"/>
            </c:ext>
          </c:extLst>
        </c:ser>
        <c:ser>
          <c:idx val="1"/>
          <c:order val="1"/>
          <c:tx>
            <c:strRef>
              <c:f>'Raw Data'!$B$20</c:f>
              <c:strCache>
                <c:ptCount val="1"/>
                <c:pt idx="0">
                  <c:v>Max Value Series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'Raw Data'!$C$20:$F$20</c:f>
              <c:numCache>
                <c:formatCode>General</c:formatCode>
                <c:ptCount val="4"/>
                <c:pt idx="0">
                  <c:v>#N/A</c:v>
                </c:pt>
                <c:pt idx="1">
                  <c:v>893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B9-4E90-B6C9-1464DA41601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701061488"/>
        <c:axId val="701056208"/>
      </c:barChart>
      <c:catAx>
        <c:axId val="70106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056208"/>
        <c:crosses val="autoZero"/>
        <c:auto val="1"/>
        <c:lblAlgn val="ctr"/>
        <c:lblOffset val="100"/>
        <c:noMultiLvlLbl val="0"/>
      </c:catAx>
      <c:valAx>
        <c:axId val="70105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06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'Raw Data'!$B$13</c:f>
          <c:strCache>
            <c:ptCount val="1"/>
            <c:pt idx="0">
              <c:v>Mark</c:v>
            </c:pt>
          </c:strCache>
        </c:strRef>
      </c:tx>
      <c:layout>
        <c:manualLayout>
          <c:xMode val="edge"/>
          <c:yMode val="edge"/>
          <c:x val="0.47130533119503143"/>
          <c:y val="2.21428875301718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227141631165615E-2"/>
          <c:y val="4.87143525663781E-2"/>
          <c:w val="0.92772858368834388"/>
          <c:h val="0.8706932083753815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'Raw Data'!$B$13</c:f>
              <c:strCache>
                <c:ptCount val="1"/>
                <c:pt idx="0">
                  <c:v>Mark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'Raw Data'!$C$13:$F$13</c:f>
              <c:numCache>
                <c:formatCode>General</c:formatCode>
                <c:ptCount val="4"/>
                <c:pt idx="0">
                  <c:v>470</c:v>
                </c:pt>
                <c:pt idx="1">
                  <c:v>752</c:v>
                </c:pt>
                <c:pt idx="2">
                  <c:v>425</c:v>
                </c:pt>
                <c:pt idx="3">
                  <c:v>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C2-42FD-9181-FB8316E4D83E}"/>
            </c:ext>
          </c:extLst>
        </c:ser>
        <c:ser>
          <c:idx val="1"/>
          <c:order val="1"/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'Raw Data'!$C$22:$F$22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754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5-64C2-42FD-9181-FB8316E4D8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4"/>
        <c:gapDepth val="256"/>
        <c:shape val="box"/>
        <c:axId val="1900841360"/>
        <c:axId val="1900843280"/>
        <c:axId val="0"/>
      </c:bar3DChart>
      <c:catAx>
        <c:axId val="190084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843280"/>
        <c:crosses val="autoZero"/>
        <c:auto val="1"/>
        <c:lblAlgn val="ctr"/>
        <c:lblOffset val="100"/>
        <c:noMultiLvlLbl val="0"/>
      </c:catAx>
      <c:valAx>
        <c:axId val="19008432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0084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"Fri"</c:f>
          <c:strCache>
            <c:ptCount val="1"/>
            <c:pt idx="0">
              <c:v>Fri</c:v>
            </c:pt>
          </c:strCache>
        </c:strRef>
      </c:tx>
      <c:layout>
        <c:manualLayout>
          <c:xMode val="edge"/>
          <c:yMode val="edge"/>
          <c:x val="5.8618933057387919E-2"/>
          <c:y val="2.20588308273773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Lit>
              <c:formatCode>General</c:formatCode>
              <c:ptCount val="25"/>
              <c:pt idx="1">
                <c:v>4.1666666666666664E-2</c:v>
              </c:pt>
              <c:pt idx="2">
                <c:v>8.3333333333333329E-2</c:v>
              </c:pt>
              <c:pt idx="3">
                <c:v>0.125</c:v>
              </c:pt>
              <c:pt idx="4">
                <c:v>0.16666666666666699</c:v>
              </c:pt>
              <c:pt idx="5">
                <c:v>0.20833333333333401</c:v>
              </c:pt>
              <c:pt idx="6">
                <c:v>0.25</c:v>
              </c:pt>
              <c:pt idx="7">
                <c:v>0.29166666666666702</c:v>
              </c:pt>
              <c:pt idx="8">
                <c:v>0.33333333333333398</c:v>
              </c:pt>
              <c:pt idx="9">
                <c:v>0.375</c:v>
              </c:pt>
              <c:pt idx="10">
                <c:v>0.41666666666666702</c:v>
              </c:pt>
              <c:pt idx="11">
                <c:v>0.45833333333333398</c:v>
              </c:pt>
              <c:pt idx="12">
                <c:v>0.5</c:v>
              </c:pt>
              <c:pt idx="13">
                <c:v>0.54166666666666696</c:v>
              </c:pt>
              <c:pt idx="14">
                <c:v>0.58333333333333404</c:v>
              </c:pt>
              <c:pt idx="15">
                <c:v>0.625</c:v>
              </c:pt>
              <c:pt idx="16">
                <c:v>0.66666666666666696</c:v>
              </c:pt>
              <c:pt idx="17">
                <c:v>0.70833333333333404</c:v>
              </c:pt>
              <c:pt idx="18">
                <c:v>0.75</c:v>
              </c:pt>
              <c:pt idx="19">
                <c:v>0.79166666666666696</c:v>
              </c:pt>
              <c:pt idx="20">
                <c:v>0.83333333333333404</c:v>
              </c:pt>
              <c:pt idx="21">
                <c:v>0.875</c:v>
              </c:pt>
              <c:pt idx="22">
                <c:v>0.91666666666666696</c:v>
              </c:pt>
              <c:pt idx="23">
                <c:v>0.95833333333333404</c:v>
              </c:pt>
            </c:numLit>
          </c:cat>
          <c:val>
            <c:numLit>
              <c:formatCode>General</c:formatCode>
              <c:ptCount val="25"/>
              <c:pt idx="0">
                <c:v>2418.8571428571427</c:v>
              </c:pt>
              <c:pt idx="1">
                <c:v>2460</c:v>
              </c:pt>
              <c:pt idx="2">
                <c:v>2503.5714285714284</c:v>
              </c:pt>
              <c:pt idx="3">
                <c:v>2587.5714285714284</c:v>
              </c:pt>
              <c:pt idx="4">
                <c:v>2701.5714285714284</c:v>
              </c:pt>
              <c:pt idx="5">
                <c:v>2843.1428571428573</c:v>
              </c:pt>
              <c:pt idx="6">
                <c:v>2930.4285714285716</c:v>
              </c:pt>
              <c:pt idx="7">
                <c:v>2905.1428571428573</c:v>
              </c:pt>
              <c:pt idx="8">
                <c:v>2980.8571428571427</c:v>
              </c:pt>
              <c:pt idx="9">
                <c:v>2988.7142857142858</c:v>
              </c:pt>
              <c:pt idx="10">
                <c:v>2824.2857142857142</c:v>
              </c:pt>
              <c:pt idx="11">
                <c:v>2389.7142857142858</c:v>
              </c:pt>
              <c:pt idx="12">
                <c:v>1902.8571428571429</c:v>
              </c:pt>
              <c:pt idx="13">
                <c:v>1609</c:v>
              </c:pt>
              <c:pt idx="14">
                <c:v>1384.7142857142858</c:v>
              </c:pt>
              <c:pt idx="15">
                <c:v>1251.4285714285713</c:v>
              </c:pt>
              <c:pt idx="16">
                <c:v>1153</c:v>
              </c:pt>
              <c:pt idx="17">
                <c:v>1329.2857142857142</c:v>
              </c:pt>
              <c:pt idx="18">
                <c:v>1585.2857142857142</c:v>
              </c:pt>
              <c:pt idx="19">
                <c:v>1895.2857142857142</c:v>
              </c:pt>
              <c:pt idx="20">
                <c:v>2179.7142857142858</c:v>
              </c:pt>
              <c:pt idx="21">
                <c:v>2349.5714285714284</c:v>
              </c:pt>
              <c:pt idx="22">
                <c:v>2486.8571428571427</c:v>
              </c:pt>
              <c:pt idx="23">
                <c:v>2694.7142857142858</c:v>
              </c:pt>
              <c:pt idx="24">
                <c:v>2419</c:v>
              </c:pt>
            </c:numLit>
          </c:val>
          <c:extLst>
            <c:ext xmlns:c16="http://schemas.microsoft.com/office/drawing/2014/chart" uri="{C3380CC4-5D6E-409C-BE32-E72D297353CC}">
              <c16:uniqueId val="{00000000-1D49-49FE-9F1A-020E8380F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329216"/>
        <c:axId val="1075766384"/>
      </c:area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25"/>
              <c:pt idx="0">
                <c:v>2415</c:v>
              </c:pt>
              <c:pt idx="1">
                <c:v>2415</c:v>
              </c:pt>
              <c:pt idx="2">
                <c:v>2509</c:v>
              </c:pt>
              <c:pt idx="3">
                <c:v>2591</c:v>
              </c:pt>
              <c:pt idx="4">
                <c:v>2754</c:v>
              </c:pt>
              <c:pt idx="5">
                <c:v>2742</c:v>
              </c:pt>
              <c:pt idx="6">
                <c:v>2985</c:v>
              </c:pt>
              <c:pt idx="7">
                <c:v>3014</c:v>
              </c:pt>
              <c:pt idx="8">
                <c:v>3069</c:v>
              </c:pt>
              <c:pt idx="9">
                <c:v>3021</c:v>
              </c:pt>
              <c:pt idx="10">
                <c:v>2764</c:v>
              </c:pt>
              <c:pt idx="11">
                <c:v>2416</c:v>
              </c:pt>
              <c:pt idx="12">
                <c:v>1850</c:v>
              </c:pt>
              <c:pt idx="13">
                <c:v>1657</c:v>
              </c:pt>
              <c:pt idx="14">
                <c:v>1338</c:v>
              </c:pt>
              <c:pt idx="15">
                <c:v>1311</c:v>
              </c:pt>
              <c:pt idx="16">
                <c:v>1144</c:v>
              </c:pt>
              <c:pt idx="17">
                <c:v>1320</c:v>
              </c:pt>
              <c:pt idx="18">
                <c:v>1514</c:v>
              </c:pt>
              <c:pt idx="19">
                <c:v>1851</c:v>
              </c:pt>
              <c:pt idx="20">
                <c:v>2216</c:v>
              </c:pt>
              <c:pt idx="21">
                <c:v>2308</c:v>
              </c:pt>
              <c:pt idx="22">
                <c:v>2544</c:v>
              </c:pt>
              <c:pt idx="23">
                <c:v>2737</c:v>
              </c:pt>
              <c:pt idx="24">
                <c:v>2404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1D49-49FE-9F1A-020E8380F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329216"/>
        <c:axId val="1075766384"/>
      </c:lineChart>
      <c:catAx>
        <c:axId val="95832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66384"/>
        <c:crosses val="autoZero"/>
        <c:auto val="1"/>
        <c:lblAlgn val="ctr"/>
        <c:lblOffset val="100"/>
        <c:noMultiLvlLbl val="0"/>
      </c:catAx>
      <c:valAx>
        <c:axId val="1075766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329216"/>
        <c:crosses val="autoZero"/>
        <c:crossBetween val="midCat"/>
      </c:valAx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Demo!$P$2</c:f>
          <c:strCache>
            <c:ptCount val="1"/>
            <c:pt idx="0">
              <c:v>Tue</c:v>
            </c:pt>
          </c:strCache>
        </c:strRef>
      </c:tx>
      <c:layout>
        <c:manualLayout>
          <c:xMode val="edge"/>
          <c:yMode val="edge"/>
          <c:x val="7.5202130437726292E-2"/>
          <c:y val="1.5577451210073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256778112160065E-2"/>
          <c:y val="9.7187142526585432E-2"/>
          <c:w val="0.89707883736755123"/>
          <c:h val="0.82029315322454111"/>
        </c:manualLayout>
      </c:layout>
      <c:areaChart>
        <c:grouping val="standar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Demo!$C$3:$C$27</c:f>
              <c:numCache>
                <c:formatCode>hAM/PM</c:formatCode>
                <c:ptCount val="25"/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0.20833333333333401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0.33333333333333398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0.45833333333333398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0.58333333333333404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cat>
          <c:val>
            <c:numLit>
              <c:formatCode>General</c:formatCode>
              <c:ptCount val="25"/>
              <c:pt idx="0">
                <c:v>2418.8571428571427</c:v>
              </c:pt>
              <c:pt idx="1">
                <c:v>2460</c:v>
              </c:pt>
              <c:pt idx="2">
                <c:v>2503.5714285714284</c:v>
              </c:pt>
              <c:pt idx="3">
                <c:v>2587.5714285714284</c:v>
              </c:pt>
              <c:pt idx="4">
                <c:v>2701.5714285714284</c:v>
              </c:pt>
              <c:pt idx="5">
                <c:v>2843.1428571428573</c:v>
              </c:pt>
              <c:pt idx="6">
                <c:v>2930.4285714285716</c:v>
              </c:pt>
              <c:pt idx="7">
                <c:v>2905.1428571428573</c:v>
              </c:pt>
              <c:pt idx="8">
                <c:v>2980.8571428571427</c:v>
              </c:pt>
              <c:pt idx="9">
                <c:v>2988.7142857142858</c:v>
              </c:pt>
              <c:pt idx="10">
                <c:v>2824.2857142857142</c:v>
              </c:pt>
              <c:pt idx="11">
                <c:v>2389.7142857142858</c:v>
              </c:pt>
              <c:pt idx="12">
                <c:v>1902.8571428571429</c:v>
              </c:pt>
              <c:pt idx="13">
                <c:v>1609</c:v>
              </c:pt>
              <c:pt idx="14">
                <c:v>1384.7142857142858</c:v>
              </c:pt>
              <c:pt idx="15">
                <c:v>1251.4285714285713</c:v>
              </c:pt>
              <c:pt idx="16">
                <c:v>1153</c:v>
              </c:pt>
              <c:pt idx="17">
                <c:v>1329.2857142857142</c:v>
              </c:pt>
              <c:pt idx="18">
                <c:v>1585.2857142857142</c:v>
              </c:pt>
              <c:pt idx="19">
                <c:v>1895.2857142857142</c:v>
              </c:pt>
              <c:pt idx="20">
                <c:v>2179.7142857142858</c:v>
              </c:pt>
              <c:pt idx="21">
                <c:v>2349.5714285714284</c:v>
              </c:pt>
              <c:pt idx="22">
                <c:v>2486.8571428571427</c:v>
              </c:pt>
              <c:pt idx="23">
                <c:v>2694.7142857142858</c:v>
              </c:pt>
              <c:pt idx="24">
                <c:v>2419</c:v>
              </c:pt>
            </c:numLit>
          </c:val>
          <c:extLst>
            <c:ext xmlns:c16="http://schemas.microsoft.com/office/drawing/2014/chart" uri="{C3380CC4-5D6E-409C-BE32-E72D297353CC}">
              <c16:uniqueId val="{00000000-01E7-4F5D-A739-EFE1F4781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112847"/>
        <c:axId val="1428110447"/>
      </c:areaChart>
      <c:lineChart>
        <c:grouping val="standard"/>
        <c:varyColors val="0"/>
        <c:ser>
          <c:idx val="1"/>
          <c:order val="1"/>
          <c:tx>
            <c:strRef>
              <c:f>Demo!$L$2</c:f>
              <c:strCache>
                <c:ptCount val="1"/>
                <c:pt idx="0">
                  <c:v>Selected Column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Demo!$C$3:$C$27</c:f>
              <c:numCache>
                <c:formatCode>hAM/PM</c:formatCode>
                <c:ptCount val="25"/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0.20833333333333401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0.33333333333333398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0.45833333333333398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0.58333333333333404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cat>
          <c:val>
            <c:numRef>
              <c:f>Demo!$L$3:$L$27</c:f>
              <c:numCache>
                <c:formatCode>General</c:formatCode>
                <c:ptCount val="25"/>
                <c:pt idx="0">
                  <c:v>2440</c:v>
                </c:pt>
                <c:pt idx="1">
                  <c:v>2419</c:v>
                </c:pt>
                <c:pt idx="2">
                  <c:v>2475</c:v>
                </c:pt>
                <c:pt idx="3">
                  <c:v>2628</c:v>
                </c:pt>
                <c:pt idx="4">
                  <c:v>2643</c:v>
                </c:pt>
                <c:pt idx="5">
                  <c:v>2885</c:v>
                </c:pt>
                <c:pt idx="6">
                  <c:v>2959</c:v>
                </c:pt>
                <c:pt idx="7">
                  <c:v>2915</c:v>
                </c:pt>
                <c:pt idx="8">
                  <c:v>3037</c:v>
                </c:pt>
                <c:pt idx="9">
                  <c:v>2864</c:v>
                </c:pt>
                <c:pt idx="10">
                  <c:v>2805</c:v>
                </c:pt>
                <c:pt idx="11">
                  <c:v>2317</c:v>
                </c:pt>
                <c:pt idx="12">
                  <c:v>1968</c:v>
                </c:pt>
                <c:pt idx="13">
                  <c:v>1636</c:v>
                </c:pt>
                <c:pt idx="14">
                  <c:v>1425</c:v>
                </c:pt>
                <c:pt idx="15">
                  <c:v>1206</c:v>
                </c:pt>
                <c:pt idx="16">
                  <c:v>1112</c:v>
                </c:pt>
                <c:pt idx="17">
                  <c:v>1256</c:v>
                </c:pt>
                <c:pt idx="18">
                  <c:v>1636</c:v>
                </c:pt>
                <c:pt idx="19">
                  <c:v>1821</c:v>
                </c:pt>
                <c:pt idx="20">
                  <c:v>2148</c:v>
                </c:pt>
                <c:pt idx="21">
                  <c:v>2240</c:v>
                </c:pt>
                <c:pt idx="22">
                  <c:v>2527</c:v>
                </c:pt>
                <c:pt idx="23">
                  <c:v>2645</c:v>
                </c:pt>
                <c:pt idx="24">
                  <c:v>2349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20-40EA-B98E-F0877B360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8329216"/>
        <c:axId val="1075766384"/>
      </c:lineChart>
      <c:catAx>
        <c:axId val="95832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accent1">
                <a:alpha val="47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66384"/>
        <c:crosses val="autoZero"/>
        <c:auto val="1"/>
        <c:lblAlgn val="ctr"/>
        <c:lblOffset val="100"/>
        <c:noMultiLvlLbl val="0"/>
      </c:catAx>
      <c:valAx>
        <c:axId val="107576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329216"/>
        <c:crosses val="autoZero"/>
        <c:crossBetween val="midCat"/>
      </c:valAx>
      <c:valAx>
        <c:axId val="1428110447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428112847"/>
        <c:crosses val="max"/>
        <c:crossBetween val="between"/>
      </c:valAx>
      <c:catAx>
        <c:axId val="14281128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81104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'Complete #'!$B$9</c:f>
          <c:strCache>
            <c:ptCount val="1"/>
            <c:pt idx="0">
              <c:v>Sarah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07539498739128E-2"/>
          <c:y val="0.17852834740651385"/>
          <c:w val="0.88473429056662034"/>
          <c:h val="0.709537912103568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[1]Complete!$B$9</c:f>
              <c:strCache>
                <c:ptCount val="1"/>
                <c:pt idx="0">
                  <c:v>Jeremy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[1]Complete!$C$2:$F$2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[1]Complete!$C$9:$F$9</c:f>
              <c:numCache>
                <c:formatCode>General</c:formatCode>
                <c:ptCount val="4"/>
                <c:pt idx="0">
                  <c:v>777</c:v>
                </c:pt>
                <c:pt idx="1">
                  <c:v>893</c:v>
                </c:pt>
                <c:pt idx="2">
                  <c:v>647</c:v>
                </c:pt>
                <c:pt idx="3">
                  <c:v>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16-4D11-9926-A19132B2E245}"/>
            </c:ext>
          </c:extLst>
        </c:ser>
        <c:ser>
          <c:idx val="1"/>
          <c:order val="1"/>
          <c:tx>
            <c:strRef>
              <c:f>[1]Complete!$B$13</c:f>
              <c:strCache>
                <c:ptCount val="1"/>
                <c:pt idx="0">
                  <c:v>Series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[1]Complete!$C$2:$F$2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[1]Complete!$C$13:$F$13</c:f>
              <c:numCache>
                <c:formatCode>General</c:formatCode>
                <c:ptCount val="4"/>
                <c:pt idx="0">
                  <c:v>#N/A</c:v>
                </c:pt>
                <c:pt idx="1">
                  <c:v>893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16-4D11-9926-A19132B2E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176390704"/>
        <c:axId val="-176397232"/>
      </c:barChart>
      <c:catAx>
        <c:axId val="-17639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397232"/>
        <c:crosses val="autoZero"/>
        <c:auto val="1"/>
        <c:lblAlgn val="ctr"/>
        <c:lblOffset val="100"/>
        <c:noMultiLvlLbl val="0"/>
      </c:catAx>
      <c:valAx>
        <c:axId val="-1763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39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'Complete #'!$B$19</c:f>
          <c:strCache>
            <c:ptCount val="1"/>
            <c:pt idx="0">
              <c:v>Sarah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1" u="none" strike="noStrike" kern="1200" cap="all" spc="15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'Complete #'!$C$2:$F$2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'Complete #'!$C$19:$F$19</c:f>
              <c:numCache>
                <c:formatCode>General</c:formatCode>
                <c:ptCount val="4"/>
                <c:pt idx="0">
                  <c:v>838</c:v>
                </c:pt>
                <c:pt idx="1">
                  <c:v>461</c:v>
                </c:pt>
                <c:pt idx="2">
                  <c:v>646</c:v>
                </c:pt>
                <c:pt idx="3">
                  <c:v>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2F-435B-93D9-9F1A24F327F2}"/>
            </c:ext>
          </c:extLst>
        </c:ser>
        <c:ser>
          <c:idx val="1"/>
          <c:order val="1"/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  <a:alpha val="94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'Complete #'!$C$2:$F$2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'Complete #'!$C$24</c:f>
              <c:numCache>
                <c:formatCode>General</c:formatCode>
                <c:ptCount val="1"/>
                <c:pt idx="0">
                  <c:v>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2F-435B-93D9-9F1A24F32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7"/>
        <c:gapDepth val="0"/>
        <c:shape val="box"/>
        <c:axId val="1718269039"/>
        <c:axId val="1718269519"/>
        <c:axId val="0"/>
      </c:bar3DChart>
      <c:catAx>
        <c:axId val="171826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269519"/>
        <c:crosses val="autoZero"/>
        <c:auto val="1"/>
        <c:lblAlgn val="ctr"/>
        <c:lblOffset val="100"/>
        <c:noMultiLvlLbl val="0"/>
      </c:catAx>
      <c:valAx>
        <c:axId val="1718269519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alpha val="99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26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'Complete #'!$B$28</c:f>
          <c:strCache>
            <c:ptCount val="1"/>
            <c:pt idx="0">
              <c:v>April</c:v>
            </c:pt>
          </c:strCache>
        </c:strRef>
      </c:tx>
      <c:layout>
        <c:manualLayout>
          <c:xMode val="edge"/>
          <c:yMode val="edge"/>
          <c:x val="0.42859242680748816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80" b="1" i="0" u="none" strike="noStrike" kern="1200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32099188342867"/>
          <c:y val="0.15695610965296006"/>
          <c:w val="0.83379831185404762"/>
          <c:h val="0.695891294838145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'Complete #'!$B$28</c:f>
              <c:strCache>
                <c:ptCount val="1"/>
                <c:pt idx="0">
                  <c:v>April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'Complete #'!$C$2:$F$2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'Complete #'!$C$28:$F$28</c:f>
              <c:numCache>
                <c:formatCode>General</c:formatCode>
                <c:ptCount val="4"/>
                <c:pt idx="0">
                  <c:v>677</c:v>
                </c:pt>
                <c:pt idx="1">
                  <c:v>895</c:v>
                </c:pt>
                <c:pt idx="2">
                  <c:v>552</c:v>
                </c:pt>
                <c:pt idx="3">
                  <c:v>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E2-4F20-B7E7-F40335938894}"/>
            </c:ext>
          </c:extLst>
        </c:ser>
        <c:ser>
          <c:idx val="1"/>
          <c:order val="1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'Complete #'!$C$2:$F$2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'Complete #'!$C$31:$F$31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E2-4F20-B7E7-F40335938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8"/>
        <c:overlap val="100"/>
        <c:axId val="78310367"/>
        <c:axId val="78308927"/>
      </c:barChart>
      <c:catAx>
        <c:axId val="783103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78308927"/>
        <c:crosses val="autoZero"/>
        <c:auto val="1"/>
        <c:lblAlgn val="ctr"/>
        <c:lblOffset val="100"/>
        <c:noMultiLvlLbl val="0"/>
      </c:catAx>
      <c:valAx>
        <c:axId val="7830892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en-US"/>
          </a:p>
        </c:txPr>
        <c:crossAx val="7831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400" b="1" i="0" u="none" strike="noStrike" kern="1200" cap="none" baseline="0">
          <a:solidFill>
            <a:sysClr val="window" lastClr="FFFFFF">
              <a:lumMod val="85000"/>
            </a:sysClr>
          </a:solidFill>
          <a:latin typeface="Cambria" panose="02040503050406030204" pitchFamily="18" charset="0"/>
          <a:ea typeface="Cambria" panose="02040503050406030204" pitchFamily="18" charset="0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18440</xdr:colOff>
      <xdr:row>0</xdr:row>
      <xdr:rowOff>59121</xdr:rowOff>
    </xdr:from>
    <xdr:to>
      <xdr:col>9</xdr:col>
      <xdr:colOff>45982</xdr:colOff>
      <xdr:row>2</xdr:row>
      <xdr:rowOff>367862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67B661-7069-48BC-B756-7C45A1E81D61}"/>
            </a:ext>
          </a:extLst>
        </xdr:cNvPr>
        <xdr:cNvSpPr txBox="1"/>
      </xdr:nvSpPr>
      <xdr:spPr>
        <a:xfrm>
          <a:off x="666140" y="59121"/>
          <a:ext cx="3275567" cy="756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2</xdr:col>
      <xdr:colOff>77560</xdr:colOff>
      <xdr:row>25</xdr:row>
      <xdr:rowOff>81644</xdr:rowOff>
    </xdr:from>
    <xdr:to>
      <xdr:col>7</xdr:col>
      <xdr:colOff>537482</xdr:colOff>
      <xdr:row>25</xdr:row>
      <xdr:rowOff>530680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E0E19A5-762D-40B5-A372-93B82063EE58}"/>
            </a:ext>
          </a:extLst>
        </xdr:cNvPr>
        <xdr:cNvSpPr txBox="1"/>
      </xdr:nvSpPr>
      <xdr:spPr>
        <a:xfrm>
          <a:off x="725260" y="5229225"/>
          <a:ext cx="3117397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2</xdr:col>
      <xdr:colOff>154445</xdr:colOff>
      <xdr:row>25</xdr:row>
      <xdr:rowOff>526250</xdr:rowOff>
    </xdr:from>
    <xdr:to>
      <xdr:col>7</xdr:col>
      <xdr:colOff>909638</xdr:colOff>
      <xdr:row>25</xdr:row>
      <xdr:rowOff>526250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45D735C-B317-4A7B-87A9-2CD864043DE1}"/>
            </a:ext>
          </a:extLst>
        </xdr:cNvPr>
        <xdr:cNvCxnSpPr/>
      </xdr:nvCxnSpPr>
      <xdr:spPr>
        <a:xfrm>
          <a:off x="802145" y="5229225"/>
          <a:ext cx="3031668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1</xdr:row>
      <xdr:rowOff>38100</xdr:rowOff>
    </xdr:from>
    <xdr:to>
      <xdr:col>17</xdr:col>
      <xdr:colOff>19050</xdr:colOff>
      <xdr:row>49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158F21C-4D10-D496-3DDC-B1BCF221EDC7}"/>
            </a:ext>
          </a:extLst>
        </xdr:cNvPr>
        <xdr:cNvCxnSpPr/>
      </xdr:nvCxnSpPr>
      <xdr:spPr>
        <a:xfrm>
          <a:off x="7953375" y="238125"/>
          <a:ext cx="28575" cy="7038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18440</xdr:colOff>
      <xdr:row>0</xdr:row>
      <xdr:rowOff>59121</xdr:rowOff>
    </xdr:from>
    <xdr:to>
      <xdr:col>9</xdr:col>
      <xdr:colOff>45982</xdr:colOff>
      <xdr:row>2</xdr:row>
      <xdr:rowOff>367862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6327F2-E37D-421F-AB96-76B2C5D96E04}"/>
            </a:ext>
          </a:extLst>
        </xdr:cNvPr>
        <xdr:cNvSpPr txBox="1"/>
      </xdr:nvSpPr>
      <xdr:spPr>
        <a:xfrm>
          <a:off x="666140" y="59121"/>
          <a:ext cx="3275567" cy="756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2</xdr:col>
      <xdr:colOff>77560</xdr:colOff>
      <xdr:row>25</xdr:row>
      <xdr:rowOff>81644</xdr:rowOff>
    </xdr:from>
    <xdr:to>
      <xdr:col>7</xdr:col>
      <xdr:colOff>537482</xdr:colOff>
      <xdr:row>25</xdr:row>
      <xdr:rowOff>530680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6BA95E4-481C-41AF-A29B-01AA171FC8D5}"/>
            </a:ext>
          </a:extLst>
        </xdr:cNvPr>
        <xdr:cNvSpPr txBox="1"/>
      </xdr:nvSpPr>
      <xdr:spPr>
        <a:xfrm>
          <a:off x="725260" y="5229225"/>
          <a:ext cx="3117397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2</xdr:col>
      <xdr:colOff>154445</xdr:colOff>
      <xdr:row>25</xdr:row>
      <xdr:rowOff>526250</xdr:rowOff>
    </xdr:from>
    <xdr:to>
      <xdr:col>7</xdr:col>
      <xdr:colOff>909638</xdr:colOff>
      <xdr:row>25</xdr:row>
      <xdr:rowOff>526250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0DA198A-D3B9-4C61-AFFE-89A16B6A4AF5}"/>
            </a:ext>
          </a:extLst>
        </xdr:cNvPr>
        <xdr:cNvCxnSpPr/>
      </xdr:nvCxnSpPr>
      <xdr:spPr>
        <a:xfrm>
          <a:off x="802145" y="5229225"/>
          <a:ext cx="3031668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328449</xdr:colOff>
      <xdr:row>0</xdr:row>
      <xdr:rowOff>98534</xdr:rowOff>
    </xdr:from>
    <xdr:to>
      <xdr:col>16</xdr:col>
      <xdr:colOff>418772</xdr:colOff>
      <xdr:row>46</xdr:row>
      <xdr:rowOff>147801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01F1D08-D7E3-461C-AADE-2BC9BE64E17A}"/>
            </a:ext>
          </a:extLst>
        </xdr:cNvPr>
        <xdr:cNvCxnSpPr/>
      </xdr:nvCxnSpPr>
      <xdr:spPr>
        <a:xfrm>
          <a:off x="7691274" y="98534"/>
          <a:ext cx="90323" cy="60785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77560</xdr:colOff>
      <xdr:row>2</xdr:row>
      <xdr:rowOff>81644</xdr:rowOff>
    </xdr:from>
    <xdr:to>
      <xdr:col>7</xdr:col>
      <xdr:colOff>537482</xdr:colOff>
      <xdr:row>2</xdr:row>
      <xdr:rowOff>530680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C44982-D248-4A5D-9113-465A5F7A8328}"/>
            </a:ext>
          </a:extLst>
        </xdr:cNvPr>
        <xdr:cNvSpPr txBox="1"/>
      </xdr:nvSpPr>
      <xdr:spPr>
        <a:xfrm>
          <a:off x="687160" y="481694"/>
          <a:ext cx="4355647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2</xdr:col>
      <xdr:colOff>154445</xdr:colOff>
      <xdr:row>2</xdr:row>
      <xdr:rowOff>526250</xdr:rowOff>
    </xdr:from>
    <xdr:to>
      <xdr:col>7</xdr:col>
      <xdr:colOff>909638</xdr:colOff>
      <xdr:row>2</xdr:row>
      <xdr:rowOff>526250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3B51BDC-CF60-484D-9020-31266EB32572}"/>
            </a:ext>
          </a:extLst>
        </xdr:cNvPr>
        <xdr:cNvCxnSpPr/>
      </xdr:nvCxnSpPr>
      <xdr:spPr>
        <a:xfrm>
          <a:off x="764045" y="926300"/>
          <a:ext cx="4346118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133350</xdr:rowOff>
    </xdr:from>
    <xdr:to>
      <xdr:col>15</xdr:col>
      <xdr:colOff>561975</xdr:colOff>
      <xdr:row>16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DAEE8D-44D8-CD7E-5764-BD37C86C7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315345</xdr:colOff>
      <xdr:row>0</xdr:row>
      <xdr:rowOff>45845</xdr:rowOff>
    </xdr:from>
    <xdr:to>
      <xdr:col>24</xdr:col>
      <xdr:colOff>362970</xdr:colOff>
      <xdr:row>17</xdr:row>
      <xdr:rowOff>244405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B452D-238D-FB34-7464-00656E2AF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68284</xdr:colOff>
      <xdr:row>17</xdr:row>
      <xdr:rowOff>33723</xdr:rowOff>
    </xdr:from>
    <xdr:to>
      <xdr:col>16</xdr:col>
      <xdr:colOff>139211</xdr:colOff>
      <xdr:row>31</xdr:row>
      <xdr:rowOff>87923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F41E50-9A88-4EE2-AAC4-2536120E2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325967</xdr:colOff>
      <xdr:row>49</xdr:row>
      <xdr:rowOff>29635</xdr:rowOff>
    </xdr:from>
    <xdr:to>
      <xdr:col>22</xdr:col>
      <xdr:colOff>313267</xdr:colOff>
      <xdr:row>71</xdr:row>
      <xdr:rowOff>55034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37E540-C7C4-4AE5-B92F-4F3BAE208F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581025</xdr:colOff>
      <xdr:row>3</xdr:row>
      <xdr:rowOff>85725</xdr:rowOff>
    </xdr:from>
    <xdr:to>
      <xdr:col>24</xdr:col>
      <xdr:colOff>590550</xdr:colOff>
      <xdr:row>25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68E158-4AFE-42D2-BDE4-BB14D0470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77560</xdr:colOff>
      <xdr:row>2</xdr:row>
      <xdr:rowOff>81644</xdr:rowOff>
    </xdr:from>
    <xdr:to>
      <xdr:col>6</xdr:col>
      <xdr:colOff>537482</xdr:colOff>
      <xdr:row>2</xdr:row>
      <xdr:rowOff>530680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3AA583-78F3-4990-A382-03FA152E8B87}"/>
            </a:ext>
          </a:extLst>
        </xdr:cNvPr>
        <xdr:cNvSpPr txBox="1"/>
      </xdr:nvSpPr>
      <xdr:spPr>
        <a:xfrm>
          <a:off x="191860" y="376919"/>
          <a:ext cx="3307897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2</xdr:row>
      <xdr:rowOff>526250</xdr:rowOff>
    </xdr:from>
    <xdr:to>
      <xdr:col>6</xdr:col>
      <xdr:colOff>909638</xdr:colOff>
      <xdr:row>2</xdr:row>
      <xdr:rowOff>526250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7080807-E84B-452C-B8E4-EF7D89ADE3AE}"/>
            </a:ext>
          </a:extLst>
        </xdr:cNvPr>
        <xdr:cNvCxnSpPr/>
      </xdr:nvCxnSpPr>
      <xdr:spPr>
        <a:xfrm>
          <a:off x="268745" y="821525"/>
          <a:ext cx="3222168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</xdr:colOff>
      <xdr:row>19</xdr:row>
      <xdr:rowOff>81644</xdr:rowOff>
    </xdr:from>
    <xdr:to>
      <xdr:col>6</xdr:col>
      <xdr:colOff>537482</xdr:colOff>
      <xdr:row>19</xdr:row>
      <xdr:rowOff>530680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F49DA29-AD41-47BD-8DA8-0A938587DB4B}"/>
            </a:ext>
          </a:extLst>
        </xdr:cNvPr>
        <xdr:cNvSpPr txBox="1"/>
      </xdr:nvSpPr>
      <xdr:spPr>
        <a:xfrm>
          <a:off x="191860" y="3590925"/>
          <a:ext cx="3307897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19</xdr:row>
      <xdr:rowOff>526250</xdr:rowOff>
    </xdr:from>
    <xdr:to>
      <xdr:col>6</xdr:col>
      <xdr:colOff>909638</xdr:colOff>
      <xdr:row>19</xdr:row>
      <xdr:rowOff>526250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8519B7F-814E-4AB1-8A59-9D7EACD6BD69}"/>
            </a:ext>
          </a:extLst>
        </xdr:cNvPr>
        <xdr:cNvCxnSpPr/>
      </xdr:nvCxnSpPr>
      <xdr:spPr>
        <a:xfrm>
          <a:off x="268745" y="3590925"/>
          <a:ext cx="3222168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</xdr:colOff>
      <xdr:row>35</xdr:row>
      <xdr:rowOff>81644</xdr:rowOff>
    </xdr:from>
    <xdr:to>
      <xdr:col>6</xdr:col>
      <xdr:colOff>537482</xdr:colOff>
      <xdr:row>35</xdr:row>
      <xdr:rowOff>530680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12F826-CA84-470F-9C68-42C4E9233F4E}"/>
            </a:ext>
          </a:extLst>
        </xdr:cNvPr>
        <xdr:cNvSpPr txBox="1"/>
      </xdr:nvSpPr>
      <xdr:spPr>
        <a:xfrm>
          <a:off x="191860" y="3790950"/>
          <a:ext cx="3307897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35</xdr:row>
      <xdr:rowOff>526250</xdr:rowOff>
    </xdr:from>
    <xdr:to>
      <xdr:col>6</xdr:col>
      <xdr:colOff>909638</xdr:colOff>
      <xdr:row>35</xdr:row>
      <xdr:rowOff>526250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C7D0A0D-AAD2-481E-9695-0AD486E1AFE0}"/>
            </a:ext>
          </a:extLst>
        </xdr:cNvPr>
        <xdr:cNvCxnSpPr/>
      </xdr:nvCxnSpPr>
      <xdr:spPr>
        <a:xfrm>
          <a:off x="268745" y="3790950"/>
          <a:ext cx="3222168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18440</xdr:colOff>
      <xdr:row>0</xdr:row>
      <xdr:rowOff>59121</xdr:rowOff>
    </xdr:from>
    <xdr:to>
      <xdr:col>9</xdr:col>
      <xdr:colOff>45982</xdr:colOff>
      <xdr:row>2</xdr:row>
      <xdr:rowOff>367862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1552CC-8F2C-463C-A395-419EBF9D86B4}"/>
            </a:ext>
          </a:extLst>
        </xdr:cNvPr>
        <xdr:cNvSpPr txBox="1"/>
      </xdr:nvSpPr>
      <xdr:spPr>
        <a:xfrm>
          <a:off x="666140" y="59121"/>
          <a:ext cx="3275567" cy="756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l"/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2</xdr:col>
      <xdr:colOff>77560</xdr:colOff>
      <xdr:row>25</xdr:row>
      <xdr:rowOff>81644</xdr:rowOff>
    </xdr:from>
    <xdr:to>
      <xdr:col>7</xdr:col>
      <xdr:colOff>537482</xdr:colOff>
      <xdr:row>25</xdr:row>
      <xdr:rowOff>530680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C615426-9FD3-442C-9446-B3FAC968544D}"/>
            </a:ext>
          </a:extLst>
        </xdr:cNvPr>
        <xdr:cNvSpPr txBox="1"/>
      </xdr:nvSpPr>
      <xdr:spPr>
        <a:xfrm>
          <a:off x="725260" y="5534025"/>
          <a:ext cx="3117397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2</xdr:col>
      <xdr:colOff>154445</xdr:colOff>
      <xdr:row>25</xdr:row>
      <xdr:rowOff>526250</xdr:rowOff>
    </xdr:from>
    <xdr:to>
      <xdr:col>7</xdr:col>
      <xdr:colOff>909638</xdr:colOff>
      <xdr:row>25</xdr:row>
      <xdr:rowOff>526250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1E4D5C6-78C6-41EF-89A5-B61A6508F959}"/>
            </a:ext>
          </a:extLst>
        </xdr:cNvPr>
        <xdr:cNvCxnSpPr/>
      </xdr:nvCxnSpPr>
      <xdr:spPr>
        <a:xfrm>
          <a:off x="802145" y="5534025"/>
          <a:ext cx="3031668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328449</xdr:colOff>
      <xdr:row>0</xdr:row>
      <xdr:rowOff>98534</xdr:rowOff>
    </xdr:from>
    <xdr:to>
      <xdr:col>16</xdr:col>
      <xdr:colOff>418772</xdr:colOff>
      <xdr:row>46</xdr:row>
      <xdr:rowOff>147801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F8F1692-7B6B-4AE7-A61F-0AA7798FC0DF}"/>
            </a:ext>
          </a:extLst>
        </xdr:cNvPr>
        <xdr:cNvCxnSpPr/>
      </xdr:nvCxnSpPr>
      <xdr:spPr>
        <a:xfrm>
          <a:off x="7691274" y="98534"/>
          <a:ext cx="90323" cy="63833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77560</xdr:colOff>
      <xdr:row>2</xdr:row>
      <xdr:rowOff>81644</xdr:rowOff>
    </xdr:from>
    <xdr:to>
      <xdr:col>6</xdr:col>
      <xdr:colOff>537482</xdr:colOff>
      <xdr:row>2</xdr:row>
      <xdr:rowOff>530680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0BCB36-C341-417D-9A1E-77BA50B44882}"/>
            </a:ext>
          </a:extLst>
        </xdr:cNvPr>
        <xdr:cNvSpPr txBox="1"/>
      </xdr:nvSpPr>
      <xdr:spPr>
        <a:xfrm>
          <a:off x="687160" y="481694"/>
          <a:ext cx="4355647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2</xdr:row>
      <xdr:rowOff>526250</xdr:rowOff>
    </xdr:from>
    <xdr:to>
      <xdr:col>6</xdr:col>
      <xdr:colOff>909638</xdr:colOff>
      <xdr:row>2</xdr:row>
      <xdr:rowOff>526250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F50D54-18A5-4F8E-8225-3A32C295B069}"/>
            </a:ext>
          </a:extLst>
        </xdr:cNvPr>
        <xdr:cNvCxnSpPr/>
      </xdr:nvCxnSpPr>
      <xdr:spPr>
        <a:xfrm>
          <a:off x="764045" y="926300"/>
          <a:ext cx="4346118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</xdr:colOff>
      <xdr:row>16</xdr:row>
      <xdr:rowOff>81644</xdr:rowOff>
    </xdr:from>
    <xdr:to>
      <xdr:col>6</xdr:col>
      <xdr:colOff>537482</xdr:colOff>
      <xdr:row>16</xdr:row>
      <xdr:rowOff>530680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F011AC-2921-402A-8902-E94A0079BA9A}"/>
            </a:ext>
          </a:extLst>
        </xdr:cNvPr>
        <xdr:cNvSpPr txBox="1"/>
      </xdr:nvSpPr>
      <xdr:spPr>
        <a:xfrm>
          <a:off x="687160" y="4638675"/>
          <a:ext cx="4355647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16</xdr:row>
      <xdr:rowOff>526250</xdr:rowOff>
    </xdr:from>
    <xdr:to>
      <xdr:col>6</xdr:col>
      <xdr:colOff>909638</xdr:colOff>
      <xdr:row>16</xdr:row>
      <xdr:rowOff>526250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ACDE63B-6C86-44F4-8BFB-66FBF2F76C8A}"/>
            </a:ext>
          </a:extLst>
        </xdr:cNvPr>
        <xdr:cNvCxnSpPr/>
      </xdr:nvCxnSpPr>
      <xdr:spPr>
        <a:xfrm>
          <a:off x="764045" y="4638675"/>
          <a:ext cx="4346118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42193</xdr:colOff>
      <xdr:row>1</xdr:row>
      <xdr:rowOff>45713</xdr:rowOff>
    </xdr:from>
    <xdr:to>
      <xdr:col>14</xdr:col>
      <xdr:colOff>366378</xdr:colOff>
      <xdr:row>15</xdr:row>
      <xdr:rowOff>121913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171818-77E6-4F18-92A9-DA9F6FC4D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64614</xdr:colOff>
      <xdr:row>16</xdr:row>
      <xdr:rowOff>150395</xdr:rowOff>
    </xdr:from>
    <xdr:to>
      <xdr:col>14</xdr:col>
      <xdr:colOff>386570</xdr:colOff>
      <xdr:row>30</xdr:row>
      <xdr:rowOff>76534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E40D06-5CFF-E41E-78A3-984E78613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42332</xdr:colOff>
      <xdr:row>30</xdr:row>
      <xdr:rowOff>139254</xdr:rowOff>
    </xdr:from>
    <xdr:to>
      <xdr:col>14</xdr:col>
      <xdr:colOff>467895</xdr:colOff>
      <xdr:row>45</xdr:row>
      <xdr:rowOff>4121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56C4A2-2F97-2D9D-1576-9C523A739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27516</xdr:colOff>
      <xdr:row>1</xdr:row>
      <xdr:rowOff>141817</xdr:rowOff>
    </xdr:from>
    <xdr:to>
      <xdr:col>1</xdr:col>
      <xdr:colOff>510116</xdr:colOff>
      <xdr:row>5</xdr:row>
      <xdr:rowOff>162983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97189EC-A3C7-4595-B6ED-8C44C942E617}"/>
            </a:ext>
          </a:extLst>
        </xdr:cNvPr>
        <xdr:cNvSpPr/>
      </xdr:nvSpPr>
      <xdr:spPr>
        <a:xfrm rot="16200000">
          <a:off x="-60854" y="687387"/>
          <a:ext cx="859366" cy="187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5</xdr:row>
      <xdr:rowOff>95250</xdr:rowOff>
    </xdr:from>
    <xdr:to>
      <xdr:col>12</xdr:col>
      <xdr:colOff>254000</xdr:colOff>
      <xdr:row>11</xdr:row>
      <xdr:rowOff>63500</xdr:rowOff>
    </xdr:to>
    <xdr:sp macro="" textlink="$G$7">
      <xdr:nvSpPr>
        <xdr:cNvPr id="2" name="Rectangle: Rounded Corners 1">
          <a:extLst>
            <a:ext uri="{FF2B5EF4-FFF2-40B4-BE49-F238E27FC236}">
              <a16:creationId xmlns:a16="http://schemas.microsoft.com/office/drawing/2014/main" id="{8EF92953-24FC-873D-B43D-025EB9343161}"/>
            </a:ext>
          </a:extLst>
        </xdr:cNvPr>
        <xdr:cNvSpPr/>
      </xdr:nvSpPr>
      <xdr:spPr>
        <a:xfrm>
          <a:off x="5340350" y="857250"/>
          <a:ext cx="2387600" cy="1111250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>
          <a:scene3d>
            <a:camera prst="perspective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fld id="{02CF2FAB-959F-411E-9476-7991A0502C1E}" type="TxLink">
            <a:rPr lang="en-US" sz="4400" b="1" i="1" u="none" strike="noStrike" cap="none" spc="0">
              <a:ln>
                <a:solidFill>
                  <a:schemeClr val="accent1">
                    <a:lumMod val="20000"/>
                    <a:lumOff val="80000"/>
                  </a:schemeClr>
                </a:solidFill>
              </a:ln>
              <a:solidFill>
                <a:schemeClr val="accent4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50800" dist="38100" dir="2700000" algn="tl" rotWithShape="0">
                  <a:prstClr val="black">
                    <a:alpha val="40000"/>
                  </a:prstClr>
                </a:outerShdw>
                <a:reflection blurRad="6350" stA="55000" endA="300" endPos="45500" dir="5400000" sy="-100000" algn="bl" rotWithShape="0"/>
              </a:effectLst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pPr algn="ctr"/>
            <a:t>2</a:t>
          </a:fld>
          <a:endParaRPr lang="en-IN" sz="4400" b="1" i="1" u="none" cap="none" spc="0">
            <a:ln>
              <a:solidFill>
                <a:schemeClr val="accent1">
                  <a:lumMod val="20000"/>
                  <a:lumOff val="80000"/>
                </a:schemeClr>
              </a:solidFill>
            </a:ln>
            <a:solidFill>
              <a:schemeClr val="accent4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50800" dist="38100" dir="2700000" algn="tl" rotWithShape="0">
                <a:prstClr val="black">
                  <a:alpha val="40000"/>
                </a:prstClr>
              </a:outerShdw>
              <a:reflection blurRad="6350" stA="55000" endA="300" endPos="45500" dir="5400000" sy="-100000" algn="bl" rotWithShape="0"/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82550</xdr:colOff>
          <xdr:row>4</xdr:row>
          <xdr:rowOff>165100</xdr:rowOff>
        </xdr:from>
        <xdr:to>
          <xdr:col>18</xdr:col>
          <xdr:colOff>92075</xdr:colOff>
          <xdr:row>11</xdr:row>
          <xdr:rowOff>174625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5A1D3C8D-44C0-D6DA-A7D2-A78C7580026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I$6:$M$12" spid="_x0000_s328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166100" y="927100"/>
              <a:ext cx="3057525" cy="1343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lison%20Excel%20Files\Copy%20of%201-2%20Lookup%20Functions.xlsx" TargetMode="External"/><Relationship Id="rId1" Type="http://schemas.openxmlformats.org/officeDocument/2006/relationships/externalLinkPath" Target="Copy%20of%201-2%20Lookup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LOOKUP"/>
      <sheetName val="INDEX MATCH"/>
      <sheetName val="XLOOKUP"/>
      <sheetName val="Raw Data"/>
      <sheetName val="Complete"/>
      <sheetName val="FILTER"/>
      <sheetName val="SPACE"/>
      <sheetName val="COMMA"/>
      <sheetName val="UNIQUE"/>
      <sheetName val="Range Demo"/>
    </sheetNames>
    <sheetDataSet>
      <sheetData sheetId="0"/>
      <sheetData sheetId="1"/>
      <sheetData sheetId="2"/>
      <sheetData sheetId="3"/>
      <sheetData sheetId="4">
        <row r="2">
          <cell r="C2" t="str">
            <v>North</v>
          </cell>
          <cell r="D2" t="str">
            <v>South</v>
          </cell>
          <cell r="E2" t="str">
            <v>East</v>
          </cell>
          <cell r="F2" t="str">
            <v>West</v>
          </cell>
        </row>
        <row r="9">
          <cell r="B9" t="str">
            <v>Jeremy</v>
          </cell>
          <cell r="C9">
            <v>777</v>
          </cell>
          <cell r="D9">
            <v>893</v>
          </cell>
          <cell r="E9">
            <v>647</v>
          </cell>
          <cell r="F9">
            <v>635</v>
          </cell>
        </row>
        <row r="13">
          <cell r="B13" t="str">
            <v>Series</v>
          </cell>
          <cell r="C13" t="e">
            <v>#N/A</v>
          </cell>
          <cell r="D13">
            <v>893</v>
          </cell>
          <cell r="E13" t="e">
            <v>#N/A</v>
          </cell>
          <cell r="F13" t="e">
            <v>#N/A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C3E6FD-C72B-4144-A5F4-5F852D3ADE9D}" name="Table1" displayName="Table1" ref="B2:G49" totalsRowShown="0" headerRowDxfId="7" tableBorderDxfId="6">
  <autoFilter ref="B2:G49" xr:uid="{F3C3E6FD-C72B-4144-A5F4-5F852D3ADE9D}"/>
  <tableColumns count="6">
    <tableColumn id="1" xr3:uid="{1A998625-BAF6-4C8D-912B-D40CA0008B68}" name="Names" dataDxfId="5"/>
    <tableColumn id="2" xr3:uid="{C285E795-89E8-4934-8D15-6D4B39D7D2CB}" name="Account No" dataDxfId="4"/>
    <tableColumn id="3" xr3:uid="{EEFB8E27-E59C-44F8-9828-5093D91A6F81}" name="Amount Purchased" dataDxfId="3"/>
    <tableColumn id="4" xr3:uid="{325AE2F7-8121-4FEE-8027-C4E52651442D}" name="Country" dataDxfId="2"/>
    <tableColumn id="5" xr3:uid="{A0E7ED5F-6725-467B-A97A-8FE34C53C662}" name="Company" dataDxfId="1"/>
    <tableColumn id="6" xr3:uid="{46C75EB1-0424-45B2-804A-5AD224CF5A13}" name="Credit Card Numb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316C-5766-4305-AA24-63D97235BD25}">
  <dimension ref="B1:U43"/>
  <sheetViews>
    <sheetView showGridLines="0" tabSelected="1" workbookViewId="0">
      <selection activeCell="U10" sqref="U10"/>
    </sheetView>
  </sheetViews>
  <sheetFormatPr defaultColWidth="9" defaultRowHeight="15.75" outlineLevelRow="1" x14ac:dyDescent="0.25"/>
  <cols>
    <col min="1" max="1" width="9" style="2"/>
    <col min="2" max="2" width="0.7109375" style="2" customWidth="1"/>
    <col min="3" max="3" width="14.28515625" style="2" bestFit="1" customWidth="1"/>
    <col min="4" max="4" width="5.5703125" style="2" bestFit="1" customWidth="1"/>
    <col min="5" max="7" width="9" style="2"/>
    <col min="8" max="8" width="1" style="2" customWidth="1"/>
    <col min="9" max="9" width="0.85546875" style="2" customWidth="1"/>
    <col min="10" max="10" width="1.85546875" style="2" customWidth="1"/>
    <col min="11" max="11" width="9" style="2"/>
    <col min="12" max="12" width="14.140625" style="2" customWidth="1"/>
    <col min="13" max="13" width="0" style="2" hidden="1" customWidth="1"/>
    <col min="14" max="20" width="9" style="2"/>
    <col min="21" max="21" width="9" style="2" customWidth="1"/>
    <col min="22" max="16384" width="9" style="2"/>
  </cols>
  <sheetData>
    <row r="1" spans="2:21" x14ac:dyDescent="0.25">
      <c r="B1" s="1"/>
    </row>
    <row r="2" spans="2:21" x14ac:dyDescent="0.25">
      <c r="B2" s="3"/>
      <c r="C2" s="3"/>
      <c r="D2" s="3"/>
      <c r="E2" s="3"/>
      <c r="F2" s="3"/>
      <c r="G2" s="3"/>
      <c r="H2" s="3"/>
      <c r="I2" s="3"/>
    </row>
    <row r="3" spans="2:21" ht="54.75" x14ac:dyDescent="0.25">
      <c r="B3" s="3"/>
      <c r="C3" s="4"/>
      <c r="D3" s="5"/>
      <c r="E3" s="5"/>
      <c r="F3" s="5"/>
      <c r="G3" s="5"/>
      <c r="H3" s="5"/>
      <c r="I3" s="3"/>
      <c r="K3" s="6" t="str">
        <f>M5</f>
        <v>How much for a medium decaf?</v>
      </c>
      <c r="S3" s="6" t="str">
        <f>U5</f>
        <v>How much for a large latte?</v>
      </c>
    </row>
    <row r="4" spans="2:21" ht="30" x14ac:dyDescent="0.85">
      <c r="B4" s="3"/>
      <c r="C4" s="3"/>
      <c r="D4" s="7" t="s">
        <v>0</v>
      </c>
      <c r="E4" s="7" t="s">
        <v>1</v>
      </c>
      <c r="F4" s="7" t="s">
        <v>2</v>
      </c>
      <c r="G4" s="8"/>
      <c r="H4" s="3"/>
      <c r="I4" s="3"/>
    </row>
    <row r="5" spans="2:21" ht="26.25" x14ac:dyDescent="0.25">
      <c r="B5" s="3"/>
      <c r="C5" s="9" t="s">
        <v>3</v>
      </c>
      <c r="D5" s="10">
        <v>1.99</v>
      </c>
      <c r="E5" s="10">
        <v>2.99</v>
      </c>
      <c r="F5" s="10">
        <v>3.99</v>
      </c>
      <c r="G5" s="3"/>
      <c r="H5" s="3"/>
      <c r="I5" s="3"/>
      <c r="K5" s="11" t="s">
        <v>4</v>
      </c>
      <c r="L5" s="12" t="s">
        <v>5</v>
      </c>
      <c r="M5" s="2" t="str">
        <f>"How much for a " &amp;L6&amp; " " &amp;L5&amp;"?"</f>
        <v>How much for a medium decaf?</v>
      </c>
      <c r="S5" s="11" t="s">
        <v>4</v>
      </c>
      <c r="T5" s="17" t="s">
        <v>7</v>
      </c>
      <c r="U5" s="2" t="str">
        <f>"How much for a " &amp;T6&amp; " " &amp;T5&amp;"?"</f>
        <v>How much for a large latte?</v>
      </c>
    </row>
    <row r="6" spans="2:21" ht="26.25" x14ac:dyDescent="0.25">
      <c r="B6" s="3"/>
      <c r="C6" s="9" t="s">
        <v>5</v>
      </c>
      <c r="D6" s="10">
        <v>1.99</v>
      </c>
      <c r="E6" s="10">
        <v>2.99</v>
      </c>
      <c r="F6" s="10">
        <v>3.99</v>
      </c>
      <c r="G6" s="3"/>
      <c r="H6" s="3"/>
      <c r="I6" s="3"/>
      <c r="K6" s="13" t="s">
        <v>6</v>
      </c>
      <c r="L6" s="12" t="s">
        <v>1</v>
      </c>
      <c r="S6" s="13" t="s">
        <v>6</v>
      </c>
      <c r="T6" s="17" t="s">
        <v>2</v>
      </c>
    </row>
    <row r="7" spans="2:21" ht="26.25" x14ac:dyDescent="0.7">
      <c r="B7" s="3"/>
      <c r="C7" s="9" t="s">
        <v>7</v>
      </c>
      <c r="D7" s="10">
        <v>2.75</v>
      </c>
      <c r="E7" s="10">
        <v>3.75</v>
      </c>
      <c r="F7" s="10">
        <v>4.25</v>
      </c>
      <c r="G7" s="3"/>
      <c r="H7" s="3"/>
      <c r="I7" s="3"/>
      <c r="T7" s="18"/>
    </row>
    <row r="8" spans="2:21" ht="26.25" x14ac:dyDescent="0.7">
      <c r="B8" s="3"/>
      <c r="C8" s="9" t="s">
        <v>8</v>
      </c>
      <c r="D8" s="10">
        <v>2.95</v>
      </c>
      <c r="E8" s="10">
        <v>3.95</v>
      </c>
      <c r="F8" s="10">
        <v>4.95</v>
      </c>
      <c r="G8" s="3"/>
      <c r="H8" s="3"/>
      <c r="I8" s="3"/>
      <c r="K8" s="13" t="s">
        <v>9</v>
      </c>
      <c r="L8" s="13">
        <f>VLOOKUP($L$5,$C$4:$F$10,3,FALSE)</f>
        <v>2.99</v>
      </c>
      <c r="N8" s="2">
        <f t="shared" ref="N8:P9" si="0">VLOOKUP($L$5,$C$4:$F$10,3,FALSE)</f>
        <v>2.99</v>
      </c>
      <c r="O8" s="2">
        <f t="shared" si="0"/>
        <v>2.99</v>
      </c>
      <c r="P8" s="2">
        <f t="shared" si="0"/>
        <v>2.99</v>
      </c>
      <c r="S8" s="13" t="s">
        <v>9</v>
      </c>
      <c r="T8" s="19">
        <f>VLOOKUP($T$5,$C$4:$F$10,MATCH($T$6,$C$4:$F$4,0),FALSE)</f>
        <v>4.25</v>
      </c>
      <c r="U8" s="1">
        <f>VLOOKUP($T$5,$C$4:$F$10,4,FALSE)</f>
        <v>4.25</v>
      </c>
    </row>
    <row r="9" spans="2:21" ht="26.25" x14ac:dyDescent="0.25">
      <c r="B9" s="3"/>
      <c r="C9" s="9" t="s">
        <v>10</v>
      </c>
      <c r="D9" s="10">
        <v>2.75</v>
      </c>
      <c r="E9" s="10">
        <v>3.75</v>
      </c>
      <c r="F9" s="10">
        <v>4.25</v>
      </c>
      <c r="G9" s="3"/>
      <c r="H9" s="3"/>
      <c r="I9" s="3"/>
      <c r="K9" s="13" t="s">
        <v>9</v>
      </c>
      <c r="L9" s="13">
        <f>VLOOKUP("decaf",$C$4:$F$10,3,FALSE)</f>
        <v>2.99</v>
      </c>
      <c r="N9" s="2">
        <f t="shared" si="0"/>
        <v>2.99</v>
      </c>
      <c r="O9" s="2">
        <f t="shared" si="0"/>
        <v>2.99</v>
      </c>
      <c r="P9" s="2">
        <f t="shared" si="0"/>
        <v>2.99</v>
      </c>
    </row>
    <row r="10" spans="2:21" ht="26.25" x14ac:dyDescent="0.25">
      <c r="B10" s="3"/>
      <c r="C10" s="9" t="s">
        <v>11</v>
      </c>
      <c r="D10" s="10">
        <v>0.99</v>
      </c>
      <c r="E10" s="10">
        <v>1.99</v>
      </c>
      <c r="F10" s="10">
        <v>2.99</v>
      </c>
      <c r="G10" s="3"/>
      <c r="H10" s="3"/>
      <c r="I10" s="3"/>
      <c r="S10" s="2" t="s">
        <v>20</v>
      </c>
    </row>
    <row r="11" spans="2:21" x14ac:dyDescent="0.25">
      <c r="B11" s="3"/>
      <c r="C11" s="3"/>
      <c r="D11" s="3"/>
      <c r="E11" s="3"/>
      <c r="F11" s="3"/>
      <c r="G11" s="3"/>
      <c r="H11" s="3"/>
      <c r="I11" s="3"/>
    </row>
    <row r="12" spans="2:21" x14ac:dyDescent="0.25">
      <c r="K12" s="2" t="s">
        <v>12</v>
      </c>
      <c r="S12" s="2" t="s">
        <v>21</v>
      </c>
    </row>
    <row r="14" spans="2:21" x14ac:dyDescent="0.25">
      <c r="K14" s="2" t="s">
        <v>13</v>
      </c>
      <c r="S14" s="14" t="s">
        <v>22</v>
      </c>
    </row>
    <row r="15" spans="2:21" x14ac:dyDescent="0.25">
      <c r="C15" s="172"/>
      <c r="D15" s="172"/>
      <c r="E15" s="172"/>
      <c r="F15" s="172"/>
      <c r="G15" s="172"/>
      <c r="J15" s="172"/>
      <c r="K15" s="172"/>
      <c r="L15" s="172"/>
      <c r="M15" s="172"/>
      <c r="N15" s="172"/>
    </row>
    <row r="16" spans="2:21" x14ac:dyDescent="0.25">
      <c r="K16" s="14" t="s">
        <v>14</v>
      </c>
    </row>
    <row r="23" spans="2:13" hidden="1" outlineLevel="1" x14ac:dyDescent="0.25"/>
    <row r="24" spans="2:13" hidden="1" outlineLevel="1" x14ac:dyDescent="0.25"/>
    <row r="25" spans="2:13" hidden="1" outlineLevel="1" x14ac:dyDescent="0.25">
      <c r="B25" s="3"/>
      <c r="C25" s="3"/>
      <c r="D25" s="3"/>
      <c r="E25" s="3"/>
      <c r="F25" s="3"/>
      <c r="G25" s="3"/>
      <c r="H25" s="3"/>
      <c r="I25" s="3"/>
    </row>
    <row r="26" spans="2:13" ht="54.75" hidden="1" outlineLevel="1" x14ac:dyDescent="0.25">
      <c r="B26" s="3"/>
      <c r="C26" s="4"/>
      <c r="D26" s="5"/>
      <c r="E26" s="5"/>
      <c r="F26" s="5"/>
      <c r="G26" s="5"/>
      <c r="H26" s="5"/>
      <c r="I26" s="3"/>
      <c r="K26" s="6" t="str">
        <f>M28</f>
        <v>How much for a medium decaf?</v>
      </c>
    </row>
    <row r="27" spans="2:13" ht="24.75" hidden="1" outlineLevel="1" x14ac:dyDescent="0.7">
      <c r="B27" s="3"/>
      <c r="C27" s="3"/>
      <c r="D27" s="15" t="s">
        <v>0</v>
      </c>
      <c r="E27" s="15" t="s">
        <v>1</v>
      </c>
      <c r="F27" s="15" t="s">
        <v>2</v>
      </c>
      <c r="G27" s="8"/>
      <c r="H27" s="3"/>
      <c r="I27" s="3"/>
    </row>
    <row r="28" spans="2:13" ht="24.75" hidden="1" outlineLevel="1" x14ac:dyDescent="0.25">
      <c r="B28" s="3"/>
      <c r="C28" s="16" t="s">
        <v>3</v>
      </c>
      <c r="D28" s="8">
        <v>1.99</v>
      </c>
      <c r="E28" s="8">
        <v>2.99</v>
      </c>
      <c r="F28" s="8">
        <v>3.99</v>
      </c>
      <c r="G28" s="3"/>
      <c r="H28" s="3"/>
      <c r="I28" s="3"/>
      <c r="K28" s="11" t="s">
        <v>4</v>
      </c>
      <c r="L28" s="12" t="s">
        <v>5</v>
      </c>
      <c r="M28" s="2" t="str">
        <f>"How much for a " &amp;L29&amp; " " &amp;L28&amp;"?"</f>
        <v>How much for a medium decaf?</v>
      </c>
    </row>
    <row r="29" spans="2:13" ht="24.75" hidden="1" outlineLevel="1" x14ac:dyDescent="0.25">
      <c r="B29" s="3"/>
      <c r="C29" s="16" t="s">
        <v>5</v>
      </c>
      <c r="D29" s="8">
        <v>1.99</v>
      </c>
      <c r="E29" s="8">
        <v>2.99</v>
      </c>
      <c r="F29" s="8">
        <v>3.99</v>
      </c>
      <c r="G29" s="3"/>
      <c r="H29" s="3"/>
      <c r="I29" s="3"/>
      <c r="K29" s="13" t="s">
        <v>6</v>
      </c>
      <c r="L29" s="12" t="s">
        <v>1</v>
      </c>
    </row>
    <row r="30" spans="2:13" ht="24.75" hidden="1" outlineLevel="1" x14ac:dyDescent="0.25">
      <c r="B30" s="3"/>
      <c r="C30" s="16" t="s">
        <v>7</v>
      </c>
      <c r="D30" s="8">
        <v>2.75</v>
      </c>
      <c r="E30" s="8">
        <v>3.75</v>
      </c>
      <c r="F30" s="8">
        <v>4.25</v>
      </c>
      <c r="G30" s="3"/>
      <c r="H30" s="3"/>
      <c r="I30" s="3"/>
    </row>
    <row r="31" spans="2:13" ht="24.75" hidden="1" outlineLevel="1" x14ac:dyDescent="0.25">
      <c r="B31" s="3"/>
      <c r="C31" s="16" t="s">
        <v>8</v>
      </c>
      <c r="D31" s="8">
        <v>2.95</v>
      </c>
      <c r="E31" s="8">
        <v>3.95</v>
      </c>
      <c r="F31" s="8">
        <v>4.95</v>
      </c>
      <c r="G31" s="3"/>
      <c r="H31" s="3"/>
      <c r="I31" s="3"/>
      <c r="K31" s="13" t="s">
        <v>9</v>
      </c>
      <c r="L31" s="13">
        <f>INDEX(E28:E33,  MATCH(C29,C28:C33,0))</f>
        <v>2.99</v>
      </c>
    </row>
    <row r="32" spans="2:13" ht="24.75" hidden="1" outlineLevel="1" x14ac:dyDescent="0.25">
      <c r="B32" s="3"/>
      <c r="C32" s="16" t="s">
        <v>10</v>
      </c>
      <c r="D32" s="8">
        <v>2.75</v>
      </c>
      <c r="E32" s="8">
        <v>3.75</v>
      </c>
      <c r="F32" s="8">
        <v>4.25</v>
      </c>
      <c r="G32" s="3"/>
      <c r="H32" s="3"/>
      <c r="I32" s="3"/>
    </row>
    <row r="33" spans="2:14" ht="24.75" hidden="1" outlineLevel="1" x14ac:dyDescent="0.25">
      <c r="B33" s="3"/>
      <c r="C33" s="16" t="s">
        <v>11</v>
      </c>
      <c r="D33" s="8">
        <v>0.99</v>
      </c>
      <c r="E33" s="8">
        <v>1.99</v>
      </c>
      <c r="F33" s="8">
        <v>2.99</v>
      </c>
      <c r="G33" s="3"/>
      <c r="H33" s="3"/>
      <c r="I33" s="3"/>
      <c r="K33" s="2" t="s">
        <v>12</v>
      </c>
    </row>
    <row r="34" spans="2:14" hidden="1" outlineLevel="1" x14ac:dyDescent="0.25">
      <c r="B34" s="3"/>
      <c r="C34" s="3"/>
      <c r="D34" s="3"/>
      <c r="E34" s="3"/>
      <c r="F34" s="3"/>
      <c r="G34" s="3"/>
      <c r="H34" s="3"/>
      <c r="I34" s="3"/>
    </row>
    <row r="35" spans="2:14" hidden="1" outlineLevel="1" x14ac:dyDescent="0.25">
      <c r="K35" s="2" t="s">
        <v>13</v>
      </c>
    </row>
    <row r="36" spans="2:14" hidden="1" outlineLevel="1" x14ac:dyDescent="0.25"/>
    <row r="37" spans="2:14" hidden="1" outlineLevel="1" x14ac:dyDescent="0.25">
      <c r="K37" s="14" t="s">
        <v>15</v>
      </c>
    </row>
    <row r="38" spans="2:14" hidden="1" outlineLevel="1" x14ac:dyDescent="0.25">
      <c r="C38" s="172"/>
      <c r="D38" s="172"/>
      <c r="E38" s="172"/>
      <c r="F38" s="172"/>
      <c r="G38" s="172"/>
      <c r="J38" s="172"/>
      <c r="K38" s="172"/>
      <c r="L38" s="172"/>
      <c r="M38" s="172"/>
      <c r="N38" s="172"/>
    </row>
    <row r="39" spans="2:14" hidden="1" outlineLevel="1" x14ac:dyDescent="0.25">
      <c r="K39" s="14" t="s">
        <v>14</v>
      </c>
    </row>
    <row r="40" spans="2:14" hidden="1" outlineLevel="1" x14ac:dyDescent="0.25"/>
    <row r="41" spans="2:14" hidden="1" outlineLevel="1" x14ac:dyDescent="0.25"/>
    <row r="42" spans="2:14" hidden="1" outlineLevel="1" x14ac:dyDescent="0.25"/>
    <row r="43" spans="2:14" collapsed="1" x14ac:dyDescent="0.25"/>
  </sheetData>
  <mergeCells count="4">
    <mergeCell ref="C15:G15"/>
    <mergeCell ref="J15:N15"/>
    <mergeCell ref="C38:G38"/>
    <mergeCell ref="J38:N38"/>
  </mergeCells>
  <dataValidations count="4">
    <dataValidation type="list" allowBlank="1" showInputMessage="1" showErrorMessage="1" sqref="L5 L28" xr:uid="{37116EBE-E321-42E1-BE47-147CD80BBA79}">
      <formula1>$C$5:$C$10</formula1>
    </dataValidation>
    <dataValidation type="list" allowBlank="1" showInputMessage="1" showErrorMessage="1" sqref="L6 L29" xr:uid="{6906D272-AC5B-471A-9199-C3FAAC81503A}">
      <formula1>$D$4:$F$4</formula1>
    </dataValidation>
    <dataValidation type="list" allowBlank="1" showInputMessage="1" showErrorMessage="1" sqref="T6" xr:uid="{1980F073-0135-4EB6-BD89-D7F87A8F12A2}">
      <formula1>$C$4:$E$4</formula1>
    </dataValidation>
    <dataValidation type="list" allowBlank="1" showInputMessage="1" showErrorMessage="1" sqref="T5" xr:uid="{710E3770-1EF4-4EBF-8E27-6FF3CE95BBC5}">
      <formula1>$B$5:$B$10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8DBA-EAE8-4C32-8ACC-31B5FA3E71F5}">
  <dimension ref="B1:V43"/>
  <sheetViews>
    <sheetView showGridLines="0" topLeftCell="D1" zoomScale="116" workbookViewId="0">
      <selection activeCell="U9" sqref="U9"/>
    </sheetView>
  </sheetViews>
  <sheetFormatPr defaultColWidth="9" defaultRowHeight="15.75" outlineLevelRow="1" x14ac:dyDescent="0.25"/>
  <cols>
    <col min="1" max="1" width="9" style="2"/>
    <col min="2" max="2" width="0.7109375" style="2" customWidth="1"/>
    <col min="3" max="3" width="14.28515625" style="2" bestFit="1" customWidth="1"/>
    <col min="4" max="4" width="5.5703125" style="2" bestFit="1" customWidth="1"/>
    <col min="5" max="7" width="9" style="2"/>
    <col min="8" max="8" width="1" style="2" customWidth="1"/>
    <col min="9" max="9" width="0.85546875" style="2" customWidth="1"/>
    <col min="10" max="10" width="1.85546875" style="2" customWidth="1"/>
    <col min="11" max="11" width="9" style="2"/>
    <col min="12" max="12" width="14.140625" style="2" customWidth="1"/>
    <col min="13" max="13" width="0" style="2" hidden="1" customWidth="1"/>
    <col min="14" max="17" width="9" style="2"/>
    <col min="18" max="18" width="12.85546875" style="2" customWidth="1"/>
    <col min="19" max="19" width="10.85546875" style="2" customWidth="1"/>
    <col min="20" max="20" width="12.140625" style="2" bestFit="1" customWidth="1"/>
    <col min="21" max="21" width="12.7109375" style="2" customWidth="1"/>
    <col min="22" max="22" width="11.28515625" style="2" bestFit="1" customWidth="1"/>
    <col min="23" max="16384" width="9" style="2"/>
  </cols>
  <sheetData>
    <row r="1" spans="2:22" x14ac:dyDescent="0.25">
      <c r="B1" s="1"/>
    </row>
    <row r="2" spans="2:22" x14ac:dyDescent="0.25">
      <c r="B2" s="3"/>
      <c r="C2" s="3"/>
      <c r="D2" s="3"/>
      <c r="E2" s="3"/>
      <c r="F2" s="3"/>
      <c r="G2" s="3"/>
      <c r="H2" s="3"/>
      <c r="I2" s="3"/>
    </row>
    <row r="3" spans="2:22" ht="54.75" x14ac:dyDescent="0.25">
      <c r="B3" s="3"/>
      <c r="C3" s="4"/>
      <c r="D3" s="5"/>
      <c r="E3" s="5"/>
      <c r="F3" s="5"/>
      <c r="G3" s="5"/>
      <c r="H3" s="5"/>
      <c r="I3" s="3"/>
      <c r="K3" s="6" t="str">
        <f>M5</f>
        <v>How much for a medium decaf?</v>
      </c>
      <c r="R3" s="6" t="s">
        <v>16</v>
      </c>
    </row>
    <row r="4" spans="2:22" ht="30" x14ac:dyDescent="0.85">
      <c r="B4" s="3"/>
      <c r="C4" s="3"/>
      <c r="D4" s="7" t="s">
        <v>0</v>
      </c>
      <c r="E4" s="7" t="s">
        <v>1</v>
      </c>
      <c r="F4" s="7" t="s">
        <v>2</v>
      </c>
      <c r="G4" s="8"/>
      <c r="H4" s="3"/>
      <c r="I4" s="3"/>
      <c r="R4" s="22" t="s">
        <v>17</v>
      </c>
      <c r="S4" s="28"/>
      <c r="T4" s="23">
        <f>MAX($F$5:$F$10)</f>
        <v>4.95</v>
      </c>
    </row>
    <row r="5" spans="2:22" ht="26.25" x14ac:dyDescent="0.25">
      <c r="B5" s="3"/>
      <c r="C5" s="9" t="s">
        <v>3</v>
      </c>
      <c r="D5" s="10">
        <v>1.99</v>
      </c>
      <c r="E5" s="10">
        <v>2.99</v>
      </c>
      <c r="F5" s="10">
        <v>3.99</v>
      </c>
      <c r="G5" s="3"/>
      <c r="H5" s="3"/>
      <c r="I5" s="3"/>
      <c r="K5" s="11" t="s">
        <v>4</v>
      </c>
      <c r="L5" s="12" t="s">
        <v>5</v>
      </c>
      <c r="M5" s="2" t="str">
        <f>"How much for a " &amp;L6&amp; " " &amp;L5&amp;"?"</f>
        <v>How much for a medium decaf?</v>
      </c>
      <c r="R5" s="24" t="s">
        <v>18</v>
      </c>
      <c r="S5" s="29"/>
      <c r="T5" s="25">
        <f>MATCH($T$4,$F$4:$F$10,0)</f>
        <v>5</v>
      </c>
    </row>
    <row r="6" spans="2:22" ht="26.25" x14ac:dyDescent="0.25">
      <c r="B6" s="3"/>
      <c r="C6" s="9" t="s">
        <v>5</v>
      </c>
      <c r="D6" s="10">
        <v>1.99</v>
      </c>
      <c r="E6" s="10">
        <v>2.99</v>
      </c>
      <c r="F6" s="10">
        <v>3.99</v>
      </c>
      <c r="G6" s="3"/>
      <c r="H6" s="3"/>
      <c r="I6" s="3"/>
      <c r="K6" s="13" t="s">
        <v>6</v>
      </c>
      <c r="L6" s="12" t="s">
        <v>1</v>
      </c>
      <c r="R6" s="26" t="s">
        <v>19</v>
      </c>
      <c r="S6" s="30"/>
      <c r="T6" s="27" t="str" cm="1">
        <f t="array" ref="T6">INDEX($C$4:$C$10,$T$5)</f>
        <v>macchiato</v>
      </c>
    </row>
    <row r="7" spans="2:22" ht="26.25" x14ac:dyDescent="0.25">
      <c r="B7" s="3"/>
      <c r="C7" s="9" t="s">
        <v>7</v>
      </c>
      <c r="D7" s="10">
        <v>2.75</v>
      </c>
      <c r="E7" s="10">
        <v>3.75</v>
      </c>
      <c r="F7" s="10">
        <v>4.25</v>
      </c>
      <c r="G7" s="3"/>
      <c r="H7" s="3"/>
      <c r="I7" s="3"/>
    </row>
    <row r="8" spans="2:22" ht="26.25" x14ac:dyDescent="0.25">
      <c r="B8" s="3"/>
      <c r="C8" s="9" t="s">
        <v>8</v>
      </c>
      <c r="D8" s="10">
        <v>2.95</v>
      </c>
      <c r="E8" s="10">
        <v>3.95</v>
      </c>
      <c r="F8" s="10">
        <v>4.95</v>
      </c>
      <c r="G8" s="3"/>
      <c r="H8" s="3"/>
      <c r="I8" s="3"/>
      <c r="K8" s="13" t="s">
        <v>9</v>
      </c>
      <c r="L8" s="13">
        <f>INDEX($C$4:$F$10,MATCH($L$6,$C$4:$F$4,0),MATCH($L$5,$C$4:$C$10,0))</f>
        <v>2.99</v>
      </c>
      <c r="N8" s="2">
        <f>INDEX($C$4:$F$10,MATCH($L$6,$C$4:$F$4,0),MATCH($L$5,$C$4:$C$10,0))</f>
        <v>2.99</v>
      </c>
      <c r="O8" s="2">
        <f>INDEX($C$4:$F$10,MATCH($L$6,$C$4:$F$4,0),MATCH($L$5,$C$4:$C$10,0))</f>
        <v>2.99</v>
      </c>
      <c r="P8" s="2">
        <f>INDEX($C$4:$F$10,MATCH($L$5,$C$4:$C$10,0),MATCH($L$6,$C$4:$F$4,0))</f>
        <v>2.99</v>
      </c>
    </row>
    <row r="9" spans="2:22" ht="30" x14ac:dyDescent="0.85">
      <c r="B9" s="3"/>
      <c r="C9" s="9" t="s">
        <v>10</v>
      </c>
      <c r="D9" s="10">
        <v>2.75</v>
      </c>
      <c r="E9" s="10">
        <v>3.75</v>
      </c>
      <c r="F9" s="10">
        <v>4.25</v>
      </c>
      <c r="G9" s="3"/>
      <c r="H9" s="3"/>
      <c r="I9" s="3"/>
      <c r="K9" s="13" t="s">
        <v>9</v>
      </c>
      <c r="L9" s="13">
        <f>INDEX($C$4:$F$10,MATCH($L$6,$C$4:$F$4,0),MATCH(L$5,$C$4:$C$10,0))</f>
        <v>2.99</v>
      </c>
      <c r="N9" s="2">
        <f>INDEX($C$4:$F$10,MATCH($L$5,$C$4:$C$10,0),MATCH($L$6,$C$4:$F$4,0))</f>
        <v>2.99</v>
      </c>
      <c r="O9" s="2">
        <f>INDEX($C$4:$F$10,MATCH($L$6,$C$4:$F$4,0),MATCH($L$5,$C$4:$C$10,0))</f>
        <v>2.99</v>
      </c>
      <c r="R9" s="20" t="s">
        <v>9</v>
      </c>
      <c r="S9" s="21" t="str">
        <f>INDEX($C$4:$C$10,MATCH(MAX($F$4:$F$10),$F$4:$F$10,0))</f>
        <v>macchiato</v>
      </c>
      <c r="T9" s="159" t="str">
        <f>INDEX($C$4:$C$10,MATCH($T$4,$F$4:$F$10,0))</f>
        <v>macchiato</v>
      </c>
      <c r="U9" s="160" t="str">
        <f>INDEX($C$4:$C$10,MATCH($T$4,$F$4:$F$10,0))</f>
        <v>macchiato</v>
      </c>
      <c r="V9" s="160" t="str">
        <f>INDEX($C$4:$C$10,MATCH(MIN($F$4:$F$10),$F$4:$F$10,0))</f>
        <v>americano</v>
      </c>
    </row>
    <row r="10" spans="2:22" ht="30" x14ac:dyDescent="0.85">
      <c r="B10" s="3"/>
      <c r="C10" s="9" t="s">
        <v>11</v>
      </c>
      <c r="D10" s="10">
        <v>0.99</v>
      </c>
      <c r="E10" s="10">
        <v>1.99</v>
      </c>
      <c r="F10" s="10">
        <v>2.99</v>
      </c>
      <c r="G10" s="3"/>
      <c r="H10" s="3"/>
      <c r="I10" s="3"/>
      <c r="R10" s="20"/>
      <c r="S10" s="21" t="str">
        <f>INDEX($C$4:$C$10,MATCH(MAX($F$4:$F$10),$F$4:$F$10,0))</f>
        <v>macchiato</v>
      </c>
      <c r="T10" s="159" t="str">
        <f>INDEX($C$4:$C$10,MATCH(MAX($F$4:$F$10),$F$4:$F$10,0))</f>
        <v>macchiato</v>
      </c>
      <c r="U10" s="160" t="str">
        <f>INDEX($C$4:$C$10,MATCH(MAX($F$4:$F$10),$F$4:$F$10,0))</f>
        <v>macchiato</v>
      </c>
      <c r="V10" s="160" t="str">
        <f>INDEX($C$4:$C$10,MATCH(MIN($F$4:$F$10),$F$4:$F$10,0))</f>
        <v>americano</v>
      </c>
    </row>
    <row r="11" spans="2:22" x14ac:dyDescent="0.25">
      <c r="B11" s="3"/>
      <c r="C11" s="3"/>
      <c r="D11" s="3"/>
      <c r="E11" s="3"/>
      <c r="F11" s="3"/>
      <c r="G11" s="3"/>
      <c r="H11" s="3"/>
      <c r="I11" s="3"/>
    </row>
    <row r="12" spans="2:22" x14ac:dyDescent="0.25">
      <c r="K12" s="2" t="s">
        <v>12</v>
      </c>
    </row>
    <row r="14" spans="2:22" x14ac:dyDescent="0.25">
      <c r="K14" s="2" t="s">
        <v>13</v>
      </c>
    </row>
    <row r="15" spans="2:22" x14ac:dyDescent="0.25">
      <c r="C15" s="172"/>
      <c r="D15" s="172"/>
      <c r="E15" s="172"/>
      <c r="F15" s="172"/>
      <c r="G15" s="172"/>
      <c r="J15" s="172"/>
      <c r="K15" s="172"/>
      <c r="L15" s="172"/>
      <c r="M15" s="172"/>
      <c r="N15" s="172"/>
    </row>
    <row r="16" spans="2:22" x14ac:dyDescent="0.25">
      <c r="K16" s="14" t="s">
        <v>14</v>
      </c>
    </row>
    <row r="23" spans="2:13" hidden="1" outlineLevel="1" x14ac:dyDescent="0.25"/>
    <row r="24" spans="2:13" hidden="1" outlineLevel="1" x14ac:dyDescent="0.25"/>
    <row r="25" spans="2:13" hidden="1" outlineLevel="1" x14ac:dyDescent="0.25">
      <c r="B25" s="3"/>
      <c r="C25" s="3"/>
      <c r="D25" s="3"/>
      <c r="E25" s="3"/>
      <c r="F25" s="3"/>
      <c r="G25" s="3"/>
      <c r="H25" s="3"/>
      <c r="I25" s="3"/>
    </row>
    <row r="26" spans="2:13" ht="54.75" hidden="1" outlineLevel="1" x14ac:dyDescent="0.25">
      <c r="B26" s="3"/>
      <c r="C26" s="4"/>
      <c r="D26" s="5"/>
      <c r="E26" s="5"/>
      <c r="F26" s="5"/>
      <c r="G26" s="5"/>
      <c r="H26" s="5"/>
      <c r="I26" s="3"/>
      <c r="K26" s="6" t="str">
        <f>M28</f>
        <v>How much for a medium decaf?</v>
      </c>
    </row>
    <row r="27" spans="2:13" ht="24.75" hidden="1" outlineLevel="1" x14ac:dyDescent="0.7">
      <c r="B27" s="3"/>
      <c r="C27" s="3"/>
      <c r="D27" s="15" t="s">
        <v>0</v>
      </c>
      <c r="E27" s="15" t="s">
        <v>1</v>
      </c>
      <c r="F27" s="15" t="s">
        <v>2</v>
      </c>
      <c r="G27" s="8"/>
      <c r="H27" s="3"/>
      <c r="I27" s="3"/>
    </row>
    <row r="28" spans="2:13" ht="24.75" hidden="1" outlineLevel="1" x14ac:dyDescent="0.25">
      <c r="B28" s="3"/>
      <c r="C28" s="16" t="s">
        <v>3</v>
      </c>
      <c r="D28" s="8">
        <v>1.99</v>
      </c>
      <c r="E28" s="8">
        <v>2.99</v>
      </c>
      <c r="F28" s="8">
        <v>3.99</v>
      </c>
      <c r="G28" s="3"/>
      <c r="H28" s="3"/>
      <c r="I28" s="3"/>
      <c r="K28" s="11" t="s">
        <v>4</v>
      </c>
      <c r="L28" s="12" t="s">
        <v>5</v>
      </c>
      <c r="M28" s="2" t="str">
        <f>"How much for a " &amp;L29&amp; " " &amp;L28&amp;"?"</f>
        <v>How much for a medium decaf?</v>
      </c>
    </row>
    <row r="29" spans="2:13" ht="24.75" hidden="1" outlineLevel="1" x14ac:dyDescent="0.25">
      <c r="B29" s="3"/>
      <c r="C29" s="16" t="s">
        <v>5</v>
      </c>
      <c r="D29" s="8">
        <v>1.99</v>
      </c>
      <c r="E29" s="8">
        <v>2.99</v>
      </c>
      <c r="F29" s="8">
        <v>3.99</v>
      </c>
      <c r="G29" s="3"/>
      <c r="H29" s="3"/>
      <c r="I29" s="3"/>
      <c r="K29" s="13" t="s">
        <v>6</v>
      </c>
      <c r="L29" s="12" t="s">
        <v>1</v>
      </c>
    </row>
    <row r="30" spans="2:13" ht="24.75" hidden="1" outlineLevel="1" x14ac:dyDescent="0.25">
      <c r="B30" s="3"/>
      <c r="C30" s="16" t="s">
        <v>7</v>
      </c>
      <c r="D30" s="8">
        <v>2.75</v>
      </c>
      <c r="E30" s="8">
        <v>3.75</v>
      </c>
      <c r="F30" s="8">
        <v>4.25</v>
      </c>
      <c r="G30" s="3"/>
      <c r="H30" s="3"/>
      <c r="I30" s="3"/>
    </row>
    <row r="31" spans="2:13" ht="24.75" hidden="1" outlineLevel="1" x14ac:dyDescent="0.25">
      <c r="B31" s="3"/>
      <c r="C31" s="16" t="s">
        <v>8</v>
      </c>
      <c r="D31" s="8">
        <v>2.95</v>
      </c>
      <c r="E31" s="8">
        <v>3.95</v>
      </c>
      <c r="F31" s="8">
        <v>4.95</v>
      </c>
      <c r="G31" s="3"/>
      <c r="H31" s="3"/>
      <c r="I31" s="3"/>
      <c r="K31" s="13" t="s">
        <v>9</v>
      </c>
      <c r="L31" s="13">
        <f>INDEX(E28:E33,  MATCH(C29,C28:C33,0))</f>
        <v>2.99</v>
      </c>
    </row>
    <row r="32" spans="2:13" ht="24.75" hidden="1" outlineLevel="1" x14ac:dyDescent="0.25">
      <c r="B32" s="3"/>
      <c r="C32" s="16" t="s">
        <v>10</v>
      </c>
      <c r="D32" s="8">
        <v>2.75</v>
      </c>
      <c r="E32" s="8">
        <v>3.75</v>
      </c>
      <c r="F32" s="8">
        <v>4.25</v>
      </c>
      <c r="G32" s="3"/>
      <c r="H32" s="3"/>
      <c r="I32" s="3"/>
    </row>
    <row r="33" spans="2:14" ht="24.75" hidden="1" outlineLevel="1" x14ac:dyDescent="0.25">
      <c r="B33" s="3"/>
      <c r="C33" s="16" t="s">
        <v>11</v>
      </c>
      <c r="D33" s="8">
        <v>0.99</v>
      </c>
      <c r="E33" s="8">
        <v>1.99</v>
      </c>
      <c r="F33" s="8">
        <v>2.99</v>
      </c>
      <c r="G33" s="3"/>
      <c r="H33" s="3"/>
      <c r="I33" s="3"/>
      <c r="K33" s="2" t="s">
        <v>12</v>
      </c>
    </row>
    <row r="34" spans="2:14" hidden="1" outlineLevel="1" x14ac:dyDescent="0.25">
      <c r="B34" s="3"/>
      <c r="C34" s="3"/>
      <c r="D34" s="3"/>
      <c r="E34" s="3"/>
      <c r="F34" s="3"/>
      <c r="G34" s="3"/>
      <c r="H34" s="3"/>
      <c r="I34" s="3"/>
    </row>
    <row r="35" spans="2:14" hidden="1" outlineLevel="1" x14ac:dyDescent="0.25">
      <c r="K35" s="2" t="s">
        <v>13</v>
      </c>
    </row>
    <row r="36" spans="2:14" hidden="1" outlineLevel="1" x14ac:dyDescent="0.25"/>
    <row r="37" spans="2:14" hidden="1" outlineLevel="1" x14ac:dyDescent="0.25">
      <c r="K37" s="14" t="s">
        <v>15</v>
      </c>
    </row>
    <row r="38" spans="2:14" hidden="1" outlineLevel="1" x14ac:dyDescent="0.25">
      <c r="C38" s="172"/>
      <c r="D38" s="172"/>
      <c r="E38" s="172"/>
      <c r="F38" s="172"/>
      <c r="G38" s="172"/>
      <c r="J38" s="172"/>
      <c r="K38" s="172"/>
      <c r="L38" s="172"/>
      <c r="M38" s="172"/>
      <c r="N38" s="172"/>
    </row>
    <row r="39" spans="2:14" hidden="1" outlineLevel="1" x14ac:dyDescent="0.25">
      <c r="K39" s="14" t="s">
        <v>14</v>
      </c>
    </row>
    <row r="40" spans="2:14" hidden="1" outlineLevel="1" x14ac:dyDescent="0.25"/>
    <row r="41" spans="2:14" hidden="1" outlineLevel="1" x14ac:dyDescent="0.25"/>
    <row r="42" spans="2:14" hidden="1" outlineLevel="1" x14ac:dyDescent="0.25"/>
    <row r="43" spans="2:14" collapsed="1" x14ac:dyDescent="0.25"/>
  </sheetData>
  <mergeCells count="4">
    <mergeCell ref="C15:G15"/>
    <mergeCell ref="J15:N15"/>
    <mergeCell ref="C38:G38"/>
    <mergeCell ref="J38:N38"/>
  </mergeCells>
  <dataValidations disablePrompts="1" count="2">
    <dataValidation type="list" allowBlank="1" showInputMessage="1" showErrorMessage="1" sqref="L5 L28" xr:uid="{E58CA98F-CED8-4CB9-8604-003B708F37BF}">
      <formula1>$C$5:$C$10</formula1>
    </dataValidation>
    <dataValidation type="list" allowBlank="1" showInputMessage="1" showErrorMessage="1" sqref="L6 L29" xr:uid="{BDDDA671-9305-4A54-8D0F-DE1C32A4551B}">
      <formula1>$D$4:$F$4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3FFC-1967-41FB-B0B4-5315E3B0711E}">
  <dimension ref="B1:P29"/>
  <sheetViews>
    <sheetView topLeftCell="G26" zoomScale="139" workbookViewId="0">
      <selection activeCell="N42" sqref="N42"/>
    </sheetView>
  </sheetViews>
  <sheetFormatPr defaultRowHeight="15" outlineLevelRow="1" x14ac:dyDescent="0.25"/>
  <cols>
    <col min="3" max="3" width="20.7109375" bestFit="1" customWidth="1"/>
    <col min="4" max="4" width="8.42578125" bestFit="1" customWidth="1"/>
    <col min="5" max="5" width="12" bestFit="1" customWidth="1"/>
    <col min="6" max="6" width="8.140625" bestFit="1" customWidth="1"/>
    <col min="11" max="11" width="35.7109375" customWidth="1"/>
    <col min="12" max="12" width="33.140625" customWidth="1"/>
    <col min="13" max="13" width="12.85546875" bestFit="1" customWidth="1"/>
    <col min="14" max="14" width="14" customWidth="1"/>
    <col min="15" max="15" width="13.7109375" customWidth="1"/>
  </cols>
  <sheetData>
    <row r="1" spans="2:16" ht="15.75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16" ht="15.75" x14ac:dyDescent="0.25"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  <c r="O2" s="2"/>
    </row>
    <row r="3" spans="2:16" ht="54.75" x14ac:dyDescent="0.25">
      <c r="B3" s="3"/>
      <c r="C3" s="4"/>
      <c r="D3" s="5"/>
      <c r="E3" s="5"/>
      <c r="F3" s="5"/>
      <c r="G3" s="5"/>
      <c r="H3" s="5"/>
      <c r="I3" s="3"/>
      <c r="J3" s="2"/>
      <c r="K3" s="6" t="s">
        <v>16</v>
      </c>
      <c r="L3" s="2"/>
      <c r="M3" s="2"/>
      <c r="N3" s="2"/>
      <c r="O3" s="2"/>
    </row>
    <row r="4" spans="2:16" ht="42" x14ac:dyDescent="1.2">
      <c r="B4" s="3"/>
      <c r="C4" s="31"/>
      <c r="D4" s="32" t="s">
        <v>0</v>
      </c>
      <c r="E4" s="32" t="s">
        <v>1</v>
      </c>
      <c r="F4" s="32" t="s">
        <v>2</v>
      </c>
      <c r="G4" s="33"/>
      <c r="H4" s="3"/>
      <c r="I4" s="3"/>
      <c r="J4" s="2"/>
      <c r="K4" s="2"/>
      <c r="L4" s="2"/>
      <c r="M4" s="2"/>
      <c r="N4" s="2"/>
      <c r="O4" s="2"/>
    </row>
    <row r="5" spans="2:16" ht="42" x14ac:dyDescent="0.35">
      <c r="B5" s="3"/>
      <c r="C5" s="34" t="s">
        <v>3</v>
      </c>
      <c r="D5" s="35">
        <v>1.99</v>
      </c>
      <c r="E5" s="35">
        <v>2.99</v>
      </c>
      <c r="F5" s="35">
        <v>3.99</v>
      </c>
      <c r="G5" s="36"/>
      <c r="H5" s="3"/>
      <c r="I5" s="3"/>
      <c r="J5" s="2"/>
      <c r="K5" s="37" t="s">
        <v>23</v>
      </c>
      <c r="L5" s="48">
        <f>MAX($F$4:$F$10)</f>
        <v>4.95</v>
      </c>
      <c r="M5" s="49">
        <f>MAX($F$5:$F$10)</f>
        <v>4.95</v>
      </c>
      <c r="N5" s="20">
        <f>MIN($F$4:$F$10)</f>
        <v>2.99</v>
      </c>
      <c r="O5" s="20">
        <f>MAX($F$4:$F$10)</f>
        <v>4.95</v>
      </c>
    </row>
    <row r="6" spans="2:16" ht="42" x14ac:dyDescent="0.35">
      <c r="B6" s="3"/>
      <c r="C6" s="34" t="s">
        <v>5</v>
      </c>
      <c r="D6" s="35">
        <v>1.99</v>
      </c>
      <c r="E6" s="35">
        <v>2.99</v>
      </c>
      <c r="F6" s="35">
        <v>3.99</v>
      </c>
      <c r="G6" s="36"/>
      <c r="H6" s="3"/>
      <c r="I6" s="3"/>
      <c r="J6" s="2"/>
      <c r="K6" s="39" t="s">
        <v>24</v>
      </c>
      <c r="L6" s="50" t="str">
        <f>_xlfn.XLOOKUP($L$5,$F$4:$F$10,$C$4:$C$10,"Not Found")</f>
        <v>macchiato</v>
      </c>
      <c r="M6" s="51" t="str">
        <f>_xlfn.XLOOKUP($M$5,$F$4:$F$10,$C$4:$C$10,"Not Found")</f>
        <v>macchiato</v>
      </c>
      <c r="N6" s="87" t="str">
        <f>_xlfn.XLOOKUP(MIN($F$4:$F$10),$F$4:$F$10,$C$4:$C$10,"Not Found")</f>
        <v>americano</v>
      </c>
      <c r="O6" s="87" t="str">
        <f>_xlfn.XLOOKUP($O$5,$F$4:$F$10,$C$4:$C$10,"Not Found")</f>
        <v>macchiato</v>
      </c>
    </row>
    <row r="7" spans="2:16" ht="42" x14ac:dyDescent="0.35">
      <c r="B7" s="3"/>
      <c r="C7" s="34" t="s">
        <v>7</v>
      </c>
      <c r="D7" s="35">
        <v>2.75</v>
      </c>
      <c r="E7" s="35">
        <v>3.75</v>
      </c>
      <c r="F7" s="35">
        <v>4.25</v>
      </c>
      <c r="G7" s="36"/>
      <c r="H7" s="3"/>
      <c r="I7" s="3"/>
      <c r="J7" s="2"/>
      <c r="K7" s="39" t="s">
        <v>25</v>
      </c>
      <c r="L7" s="50" t="str">
        <f>_xlfn.XLOOKUP(MAX($F$4:$F$10),$F$4:$F$10,$C$4:$C$10,"Not Found")</f>
        <v>macchiato</v>
      </c>
      <c r="M7" s="51" t="str">
        <f>_xlfn.XLOOKUP(MAX($F$4:$F$10),$F$4:$F$10,$C$4:$C$10,"Not Found")</f>
        <v>macchiato</v>
      </c>
      <c r="N7" s="87" t="str">
        <f>_xlfn.XLOOKUP($N$5,$F$4:$F$10,$C$4:$C$10,"Not Found")</f>
        <v>americano</v>
      </c>
      <c r="O7" s="87" t="str">
        <f>_xlfn.XLOOKUP(MAX($F$4:$F$10),$F$4:$F$10,$C$4:$C$10,"Not Found")</f>
        <v>macchiato</v>
      </c>
    </row>
    <row r="8" spans="2:16" ht="42" x14ac:dyDescent="0.35">
      <c r="B8" s="3"/>
      <c r="C8" s="34" t="s">
        <v>8</v>
      </c>
      <c r="D8" s="35">
        <v>2.95</v>
      </c>
      <c r="E8" s="35">
        <v>3.95</v>
      </c>
      <c r="F8" s="35">
        <v>4.95</v>
      </c>
      <c r="G8" s="36"/>
      <c r="H8" s="3"/>
      <c r="I8" s="3"/>
      <c r="K8" s="38" t="s">
        <v>26</v>
      </c>
      <c r="L8" s="50" t="str">
        <f>_xlfn.XLOOKUP(MIN($F$4:$F$10),$F$4:$F$10,$C$4:$C$10,"Not Found")</f>
        <v>americano</v>
      </c>
      <c r="M8" s="51" t="str">
        <f>_xlfn.XLOOKUP(MIN($F$4:$F$10),$F$4:$F$10,$C$4:$C$10,"Not Found")</f>
        <v>americano</v>
      </c>
      <c r="N8" s="85" t="str">
        <f>_xlfn.XLOOKUP($N$5,$F$4:$F$10,$C$4:$C$10,"Not Found")</f>
        <v>americano</v>
      </c>
      <c r="O8" s="87" t="str">
        <f>_xlfn.XLOOKUP(MIN($F$4:$F$10),$F$4:$F$10,$C$4:$C$10,"not Found")</f>
        <v>americano</v>
      </c>
    </row>
    <row r="9" spans="2:16" ht="42" x14ac:dyDescent="0.35">
      <c r="B9" s="3"/>
      <c r="C9" s="34" t="s">
        <v>10</v>
      </c>
      <c r="D9" s="35">
        <v>2.75</v>
      </c>
      <c r="E9" s="35">
        <v>3.75</v>
      </c>
      <c r="F9" s="35">
        <v>4.25</v>
      </c>
      <c r="G9" s="36"/>
      <c r="H9" s="3"/>
      <c r="I9" s="3"/>
      <c r="K9" s="43" t="s">
        <v>27</v>
      </c>
      <c r="L9" s="40" t="s">
        <v>10</v>
      </c>
      <c r="O9" s="2"/>
    </row>
    <row r="10" spans="2:16" ht="42" x14ac:dyDescent="0.35">
      <c r="B10" s="3"/>
      <c r="C10" s="34" t="s">
        <v>11</v>
      </c>
      <c r="D10" s="35">
        <v>0.99</v>
      </c>
      <c r="E10" s="35">
        <v>1.99</v>
      </c>
      <c r="F10" s="35">
        <v>2.99</v>
      </c>
      <c r="G10" s="36"/>
      <c r="H10" s="3"/>
      <c r="I10" s="3"/>
      <c r="K10" s="52" t="s">
        <v>28</v>
      </c>
      <c r="L10" s="54">
        <f>VLOOKUP($L$9,$C$4:$F$10,MATCH($K10,$C$4:$F$4,0),FALSE)</f>
        <v>2.75</v>
      </c>
      <c r="M10" s="41">
        <f>VLOOKUP($L$9,$C$4:$F$10,MATCH($K10,$C$4:$F$4,0),FALSE)</f>
        <v>2.75</v>
      </c>
      <c r="N10" s="41">
        <f t="shared" ref="N10" si="0">VLOOKUP($L$9,$C$4:$F$10,MATCH($K10,$C$4:$F$4,0),FALSE)</f>
        <v>2.75</v>
      </c>
      <c r="O10" s="2">
        <f>VLOOKUP($L$9,$C$4:$F$10,MATCH($K10,$C$4:$F$4,0),FALSE)</f>
        <v>2.75</v>
      </c>
      <c r="P10" s="2"/>
    </row>
    <row r="11" spans="2:16" ht="23.25" x14ac:dyDescent="0.35">
      <c r="B11" s="3"/>
      <c r="C11" s="36"/>
      <c r="D11" s="36"/>
      <c r="E11" s="36"/>
      <c r="F11" s="36"/>
      <c r="G11" s="36"/>
      <c r="H11" s="3"/>
      <c r="I11" s="3"/>
      <c r="K11" s="53" t="s">
        <v>1</v>
      </c>
      <c r="L11" s="41">
        <f>INDEX($C$4:$F$10,MATCH($L$9,$C$4:$C$10,0),MATCH($K11,$C$4:$F$4,0))</f>
        <v>3.75</v>
      </c>
      <c r="M11" s="41">
        <f t="shared" ref="M11:N11" si="1">INDEX($C$4:$F$10,MATCH($L$9,$C$4:$C$10,0),MATCH($K11,$C$4:$F$4,0))</f>
        <v>3.75</v>
      </c>
      <c r="N11" s="41">
        <f t="shared" si="1"/>
        <v>3.75</v>
      </c>
      <c r="O11" s="2">
        <f t="shared" ref="O11:O12" si="2">VLOOKUP($L$9,$C$4:$F$10,MATCH($K11,$C$4:$F$4,0),FALSE)</f>
        <v>3.75</v>
      </c>
    </row>
    <row r="12" spans="2:16" ht="18.75" x14ac:dyDescent="0.3">
      <c r="B12" s="2"/>
      <c r="C12" s="2"/>
      <c r="D12" s="2"/>
      <c r="E12" s="2"/>
      <c r="F12" s="2"/>
      <c r="G12" s="2"/>
      <c r="H12" s="2"/>
      <c r="I12" s="2"/>
      <c r="K12" s="52" t="s">
        <v>2</v>
      </c>
      <c r="L12" s="41" cm="1">
        <f t="array" ref="L12:N12">_xlfn.XLOOKUP($L$9,$C$4:$C$10,$D$4:$F$10,MATCH($K12,$C$4:$F$4,0),0)</f>
        <v>2.75</v>
      </c>
      <c r="M12" s="41">
        <v>3.75</v>
      </c>
      <c r="N12" s="41">
        <v>4.25</v>
      </c>
      <c r="O12" s="2">
        <f t="shared" si="2"/>
        <v>4.25</v>
      </c>
    </row>
    <row r="13" spans="2:16" ht="15.75" x14ac:dyDescent="0.25">
      <c r="B13" s="2"/>
      <c r="C13" s="2"/>
      <c r="D13" s="2"/>
      <c r="E13" s="2"/>
      <c r="F13" s="2"/>
      <c r="G13" s="2"/>
      <c r="H13" s="2"/>
      <c r="I13" s="2"/>
      <c r="O13" s="2"/>
    </row>
    <row r="14" spans="2:16" ht="15.75" x14ac:dyDescent="0.25">
      <c r="B14" s="2"/>
      <c r="C14" s="2"/>
      <c r="D14" s="2"/>
      <c r="E14" s="2"/>
      <c r="F14" s="2"/>
      <c r="G14" s="2"/>
      <c r="H14" s="2"/>
      <c r="I14" s="2"/>
      <c r="O14" s="2"/>
    </row>
    <row r="15" spans="2:16" outlineLevel="1" x14ac:dyDescent="0.25"/>
    <row r="16" spans="2:16" ht="19.5" customHeight="1" outlineLevel="1" x14ac:dyDescent="0.3">
      <c r="K16" s="43" t="s">
        <v>41</v>
      </c>
      <c r="L16" s="55" t="s">
        <v>5</v>
      </c>
    </row>
    <row r="17" spans="11:16" ht="18.75" outlineLevel="1" x14ac:dyDescent="0.3">
      <c r="K17" s="52"/>
    </row>
    <row r="18" spans="11:16" ht="18.75" outlineLevel="1" x14ac:dyDescent="0.3">
      <c r="K18" s="43" t="s">
        <v>42</v>
      </c>
      <c r="L18" s="52" t="s">
        <v>28</v>
      </c>
      <c r="M18" s="53" t="s">
        <v>1</v>
      </c>
      <c r="N18" s="52" t="s">
        <v>2</v>
      </c>
    </row>
    <row r="19" spans="11:16" ht="15.75" x14ac:dyDescent="0.25">
      <c r="L19" s="41">
        <f>VLOOKUP($L$16,$C$4:$F$10,MATCH(D$4,$C$4:$F$4,0),FALSE)</f>
        <v>1.99</v>
      </c>
      <c r="M19" s="41">
        <f t="shared" ref="M19:N19" si="3">VLOOKUP($L$16,$C$4:$F$10,MATCH(E$4,$C$4:$F$4,0),FALSE)</f>
        <v>2.99</v>
      </c>
      <c r="N19" s="41">
        <f t="shared" si="3"/>
        <v>3.99</v>
      </c>
    </row>
    <row r="20" spans="11:16" ht="15.75" x14ac:dyDescent="0.25">
      <c r="K20" s="43" t="s">
        <v>43</v>
      </c>
      <c r="L20" s="41" cm="1">
        <f t="array" ref="L20:N20">_xlfn.XLOOKUP($L$16,$C$4:$C$10,$D$4:$F$10,MATCH($K25,$C$4:$F$4,0),0)</f>
        <v>1.99</v>
      </c>
      <c r="M20" s="41">
        <v>2.99</v>
      </c>
      <c r="N20" s="41">
        <v>3.99</v>
      </c>
    </row>
    <row r="21" spans="11:16" ht="15.75" x14ac:dyDescent="0.25">
      <c r="K21" s="43"/>
      <c r="L21" s="41" cm="1">
        <f t="array" ref="L21:N21">_xlfn.XLOOKUP($L$16,$C$4:$C$10,$D$4:$F$10,MATCH(L$18,$C$4:$F$4,0),0)</f>
        <v>1.99</v>
      </c>
      <c r="M21" s="41">
        <v>2.99</v>
      </c>
      <c r="N21" s="41">
        <v>3.99</v>
      </c>
    </row>
    <row r="22" spans="11:16" ht="15.75" x14ac:dyDescent="0.25">
      <c r="K22" s="43"/>
      <c r="L22" s="41" cm="1">
        <f t="array" ref="L22:N22">_xlfn.XLOOKUP($L$16,$C$4:$C$10,$D$4:$F$10,MATCH($L$18,$C$4:$F$4,0))</f>
        <v>1.99</v>
      </c>
      <c r="M22" s="41">
        <v>2.99</v>
      </c>
      <c r="N22" s="41">
        <v>3.99</v>
      </c>
    </row>
    <row r="23" spans="11:16" ht="15.75" x14ac:dyDescent="0.25">
      <c r="L23" s="41"/>
      <c r="M23" s="41"/>
      <c r="N23" s="41"/>
    </row>
    <row r="24" spans="11:16" ht="15.75" x14ac:dyDescent="0.25">
      <c r="K24" s="59" t="s">
        <v>44</v>
      </c>
      <c r="L24" s="41"/>
      <c r="M24" s="41"/>
      <c r="N24" s="41"/>
    </row>
    <row r="25" spans="11:16" ht="18.75" x14ac:dyDescent="0.3">
      <c r="K25" s="56" t="s">
        <v>28</v>
      </c>
      <c r="L25" s="57">
        <f>INDEX($C$4:$F$10,MATCH($L$16,$C$4:$C$10,0),MATCH($K25,$C$4:$F$4,0))</f>
        <v>1.99</v>
      </c>
      <c r="M25">
        <f>INDEX($C$4:$F$10,MATCH($L$16,$C$4:$C$10,0),MATCH($K25,$C$4:$F$4,0))</f>
        <v>1.99</v>
      </c>
    </row>
    <row r="26" spans="11:16" ht="18.75" x14ac:dyDescent="0.3">
      <c r="K26" s="58" t="s">
        <v>1</v>
      </c>
      <c r="L26" s="57">
        <f t="shared" ref="L26:M26" si="4">INDEX($C$4:$F$10,MATCH($L$16,$C$4:$C$10,0),MATCH($K26,$C$4:$F$4,0))</f>
        <v>2.99</v>
      </c>
      <c r="M26">
        <f t="shared" si="4"/>
        <v>2.99</v>
      </c>
    </row>
    <row r="27" spans="11:16" ht="18.75" x14ac:dyDescent="0.3">
      <c r="K27" s="56" t="s">
        <v>2</v>
      </c>
      <c r="L27" s="57">
        <f>INDEX($C$4:$F$10,MATCH($L$16,$C$4:$C$10,0),MATCH($K27,$C$4:$F$4,0))</f>
        <v>3.99</v>
      </c>
      <c r="M27">
        <f>INDEX($C$4:$F$10,MATCH($L$16,$C$4:$C$10,0),MATCH($K27,$C$4:$F$4,0))</f>
        <v>3.99</v>
      </c>
    </row>
    <row r="29" spans="11:16" x14ac:dyDescent="0.25">
      <c r="M29" t="str" cm="1">
        <f t="array" ref="M29:P29">INDEX($C$4:$F$10,MATCH($L$16,$C$4:$C$10,0),MATCH($K27,$C$4:$F$4,0)*0)</f>
        <v>decaf</v>
      </c>
      <c r="N29">
        <v>1.99</v>
      </c>
      <c r="O29">
        <v>2.99</v>
      </c>
      <c r="P29">
        <v>3.99</v>
      </c>
    </row>
  </sheetData>
  <dataValidations disablePrompts="1" count="1">
    <dataValidation type="list" allowBlank="1" showInputMessage="1" showErrorMessage="1" sqref="L9 L16" xr:uid="{EC8BC06D-3591-45BB-A3F7-64756BA4D164}">
      <formula1>$C$5:$C$10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450E-F04B-409F-85BA-10D5CB950239}">
  <dimension ref="B2:F23"/>
  <sheetViews>
    <sheetView topLeftCell="A7" zoomScale="112" workbookViewId="0">
      <selection activeCell="C28" sqref="C28"/>
    </sheetView>
  </sheetViews>
  <sheetFormatPr defaultRowHeight="15" x14ac:dyDescent="0.25"/>
  <cols>
    <col min="1" max="1" width="2.85546875" customWidth="1"/>
    <col min="2" max="2" width="17.28515625" customWidth="1"/>
  </cols>
  <sheetData>
    <row r="2" spans="2:6" x14ac:dyDescent="0.25">
      <c r="B2" s="42" t="s">
        <v>29</v>
      </c>
      <c r="C2" s="42" t="s">
        <v>30</v>
      </c>
      <c r="D2" s="42" t="s">
        <v>31</v>
      </c>
      <c r="E2" s="42" t="s">
        <v>32</v>
      </c>
      <c r="F2" s="42" t="s">
        <v>33</v>
      </c>
    </row>
    <row r="3" spans="2:6" x14ac:dyDescent="0.25">
      <c r="B3" t="s">
        <v>34</v>
      </c>
      <c r="C3">
        <v>777</v>
      </c>
      <c r="D3">
        <v>893</v>
      </c>
      <c r="E3">
        <v>647</v>
      </c>
      <c r="F3">
        <v>635</v>
      </c>
    </row>
    <row r="4" spans="2:6" x14ac:dyDescent="0.25">
      <c r="B4" t="s">
        <v>35</v>
      </c>
      <c r="C4">
        <v>470</v>
      </c>
      <c r="D4">
        <v>752</v>
      </c>
      <c r="E4">
        <v>425</v>
      </c>
      <c r="F4">
        <v>754</v>
      </c>
    </row>
    <row r="5" spans="2:6" x14ac:dyDescent="0.25">
      <c r="B5" t="s">
        <v>36</v>
      </c>
      <c r="C5">
        <v>677</v>
      </c>
      <c r="D5">
        <v>895</v>
      </c>
      <c r="E5">
        <v>552</v>
      </c>
      <c r="F5">
        <v>993</v>
      </c>
    </row>
    <row r="6" spans="2:6" x14ac:dyDescent="0.25">
      <c r="B6" t="s">
        <v>37</v>
      </c>
      <c r="C6">
        <v>838</v>
      </c>
      <c r="D6">
        <v>461</v>
      </c>
      <c r="E6">
        <v>646</v>
      </c>
      <c r="F6">
        <v>873</v>
      </c>
    </row>
    <row r="8" spans="2:6" x14ac:dyDescent="0.25">
      <c r="B8" s="43"/>
    </row>
    <row r="9" spans="2:6" ht="23.25" customHeight="1" x14ac:dyDescent="0.25">
      <c r="B9" s="44" t="s">
        <v>37</v>
      </c>
      <c r="C9" s="45" cm="1">
        <f t="array" ref="C9:F9">_xlfn.XLOOKUP($B$9,$B$2:$B$6,$C$2:$F$6,"Not Found")</f>
        <v>838</v>
      </c>
      <c r="D9" s="45">
        <v>461</v>
      </c>
      <c r="E9" s="45">
        <v>646</v>
      </c>
      <c r="F9" s="45">
        <v>873</v>
      </c>
    </row>
    <row r="11" spans="2:6" x14ac:dyDescent="0.25">
      <c r="B11" s="46" t="s">
        <v>34</v>
      </c>
      <c r="C11" cm="1">
        <f t="array" ref="C11:F11">_xlfn.XLOOKUP($B$11,$B$2:$B$6,$C$2:$F$6,"Not Found")</f>
        <v>777</v>
      </c>
      <c r="D11">
        <v>893</v>
      </c>
      <c r="E11">
        <v>647</v>
      </c>
      <c r="F11">
        <v>635</v>
      </c>
    </row>
    <row r="13" spans="2:6" x14ac:dyDescent="0.25">
      <c r="B13" s="47" t="s">
        <v>35</v>
      </c>
      <c r="C13" cm="1">
        <f t="array" ref="C13:F13">_xlfn.XLOOKUP($B$13,$B$2:$B$6,$C$2:$F$6,"Not Found")</f>
        <v>470</v>
      </c>
      <c r="D13">
        <v>752</v>
      </c>
      <c r="E13">
        <v>425</v>
      </c>
      <c r="F13">
        <v>754</v>
      </c>
    </row>
    <row r="14" spans="2:6" x14ac:dyDescent="0.25">
      <c r="B14" s="43"/>
    </row>
    <row r="15" spans="2:6" x14ac:dyDescent="0.25">
      <c r="B15" t="s">
        <v>38</v>
      </c>
      <c r="C15">
        <f>MAX(_xlfn.ANCHORARRAY(C9))</f>
        <v>873</v>
      </c>
    </row>
    <row r="16" spans="2:6" x14ac:dyDescent="0.25">
      <c r="B16" t="s">
        <v>38</v>
      </c>
      <c r="C16">
        <f>MAX(_xlfn.ANCHORARRAY(C11))</f>
        <v>893</v>
      </c>
    </row>
    <row r="17" spans="2:6" x14ac:dyDescent="0.25">
      <c r="B17" t="s">
        <v>38</v>
      </c>
      <c r="C17">
        <f>MAX(_xlfn.ANCHORARRAY(C13))</f>
        <v>754</v>
      </c>
    </row>
    <row r="18" spans="2:6" ht="22.5" customHeight="1" x14ac:dyDescent="0.25">
      <c r="B18" s="44" t="s">
        <v>39</v>
      </c>
      <c r="C18" t="e">
        <f>IF(C9=$C$15,$C$15,NA())</f>
        <v>#N/A</v>
      </c>
      <c r="D18" t="e">
        <f t="shared" ref="D18:F18" si="0">IF(D9=$C$15,$C$15,NA())</f>
        <v>#N/A</v>
      </c>
      <c r="E18" t="e">
        <f t="shared" si="0"/>
        <v>#N/A</v>
      </c>
      <c r="F18">
        <f t="shared" si="0"/>
        <v>873</v>
      </c>
    </row>
    <row r="19" spans="2:6" x14ac:dyDescent="0.25">
      <c r="B19" s="43"/>
    </row>
    <row r="20" spans="2:6" ht="18.75" customHeight="1" x14ac:dyDescent="0.25">
      <c r="B20" s="46" t="s">
        <v>39</v>
      </c>
      <c r="C20" t="e">
        <f>IF(C11=$C$16,$C$16,NA())</f>
        <v>#N/A</v>
      </c>
      <c r="D20">
        <f t="shared" ref="D20:F20" si="1">IF(D11=$C$16,$C$16,NA())</f>
        <v>893</v>
      </c>
      <c r="E20" t="e">
        <f t="shared" si="1"/>
        <v>#N/A</v>
      </c>
      <c r="F20" t="e">
        <f t="shared" si="1"/>
        <v>#N/A</v>
      </c>
    </row>
    <row r="22" spans="2:6" x14ac:dyDescent="0.25">
      <c r="B22" s="47" t="s">
        <v>40</v>
      </c>
      <c r="C22" t="e">
        <f>IF(C13=$C$17,$C$17,NA())</f>
        <v>#N/A</v>
      </c>
      <c r="D22" t="e">
        <f t="shared" ref="D22:E22" si="2">IF(D13=$C$17,$C$17,NA())</f>
        <v>#N/A</v>
      </c>
      <c r="E22" t="e">
        <f t="shared" si="2"/>
        <v>#N/A</v>
      </c>
      <c r="F22">
        <f>IF(F13=$C$17,$C$17,NA())</f>
        <v>754</v>
      </c>
    </row>
    <row r="23" spans="2:6" x14ac:dyDescent="0.25">
      <c r="C23" t="s">
        <v>45</v>
      </c>
    </row>
  </sheetData>
  <dataValidations count="1">
    <dataValidation type="list" allowBlank="1" showInputMessage="1" showErrorMessage="1" sqref="B9 B11:B13" xr:uid="{023A8E6B-93A5-48C6-AADA-8B784E5B4643}">
      <formula1>$B$2:$B$6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D4AB-B3D8-4518-8B90-45A7021648E6}">
  <dimension ref="I2:U2"/>
  <sheetViews>
    <sheetView showGridLines="0" workbookViewId="0">
      <selection activeCell="O1" sqref="O1"/>
    </sheetView>
  </sheetViews>
  <sheetFormatPr defaultRowHeight="15" x14ac:dyDescent="0.25"/>
  <cols>
    <col min="1" max="16384" width="9.140625" style="78"/>
  </cols>
  <sheetData>
    <row r="2" spans="9:21" ht="60.75" x14ac:dyDescent="0.8">
      <c r="I2" s="173" t="s">
        <v>99</v>
      </c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</row>
  </sheetData>
  <mergeCells count="1">
    <mergeCell ref="I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FE9E-4F33-452B-9E6B-48362BEE53F7}">
  <dimension ref="A1:I20"/>
  <sheetViews>
    <sheetView workbookViewId="0">
      <selection activeCell="H7" sqref="H7"/>
    </sheetView>
  </sheetViews>
  <sheetFormatPr defaultRowHeight="15" outlineLevelRow="1" x14ac:dyDescent="0.25"/>
  <cols>
    <col min="1" max="1" width="4.28515625" customWidth="1"/>
  </cols>
  <sheetData>
    <row r="1" spans="1:9" x14ac:dyDescent="0.25">
      <c r="A1" s="43"/>
    </row>
    <row r="3" spans="1:9" x14ac:dyDescent="0.25">
      <c r="B3" s="60" t="s">
        <v>46</v>
      </c>
      <c r="C3" s="60" t="s">
        <v>47</v>
      </c>
      <c r="G3" s="61" t="s">
        <v>48</v>
      </c>
    </row>
    <row r="4" spans="1:9" x14ac:dyDescent="0.25">
      <c r="B4" s="48" t="s">
        <v>49</v>
      </c>
      <c r="C4" s="48" t="s">
        <v>49</v>
      </c>
      <c r="D4" s="38" t="b">
        <f>B4=C4</f>
        <v>1</v>
      </c>
      <c r="E4" s="38">
        <f>D4*1</f>
        <v>1</v>
      </c>
      <c r="F4" s="38">
        <f>--D4</f>
        <v>1</v>
      </c>
      <c r="G4" s="62" t="str">
        <f>IF(B4=C4,"Yes","No")</f>
        <v>Yes</v>
      </c>
      <c r="H4" s="62" t="str">
        <f>IF(D4,"True","False")</f>
        <v>True</v>
      </c>
    </row>
    <row r="5" spans="1:9" x14ac:dyDescent="0.25">
      <c r="B5" s="38" t="s">
        <v>50</v>
      </c>
      <c r="C5" s="48" t="s">
        <v>50</v>
      </c>
      <c r="D5" s="38" t="b">
        <f t="shared" ref="D5:D8" si="0">B5=C5</f>
        <v>1</v>
      </c>
      <c r="E5" s="38">
        <f t="shared" ref="E5:E8" si="1">D5*1</f>
        <v>1</v>
      </c>
      <c r="F5" s="38">
        <f t="shared" ref="F5:F8" si="2">--D5</f>
        <v>1</v>
      </c>
      <c r="G5" s="62" t="str">
        <f t="shared" ref="G5:G8" si="3">IF(B5=C5,"Yes","No")</f>
        <v>Yes</v>
      </c>
      <c r="H5" s="62" t="str">
        <f t="shared" ref="H5:H8" si="4">IF(D5,"True","False")</f>
        <v>True</v>
      </c>
    </row>
    <row r="6" spans="1:9" x14ac:dyDescent="0.25">
      <c r="B6" s="38">
        <v>234</v>
      </c>
      <c r="C6" s="48">
        <v>-32</v>
      </c>
      <c r="D6" s="38" t="b">
        <f t="shared" si="0"/>
        <v>0</v>
      </c>
      <c r="E6" s="38">
        <f t="shared" si="1"/>
        <v>0</v>
      </c>
      <c r="F6" s="38">
        <f t="shared" si="2"/>
        <v>0</v>
      </c>
      <c r="G6" s="62" t="str">
        <f t="shared" si="3"/>
        <v>No</v>
      </c>
      <c r="H6" s="62" t="str">
        <f t="shared" si="4"/>
        <v>False</v>
      </c>
    </row>
    <row r="7" spans="1:9" x14ac:dyDescent="0.25">
      <c r="B7" s="38" t="b">
        <v>1</v>
      </c>
      <c r="C7" s="48" t="b">
        <v>0</v>
      </c>
      <c r="D7" s="38" t="b">
        <f t="shared" si="0"/>
        <v>0</v>
      </c>
      <c r="E7" s="38">
        <f t="shared" si="1"/>
        <v>0</v>
      </c>
      <c r="F7" s="38">
        <f t="shared" si="2"/>
        <v>0</v>
      </c>
      <c r="G7" s="62" t="str">
        <f>IF(B7=C7,"Yes","No")</f>
        <v>No</v>
      </c>
      <c r="H7" s="62" t="str">
        <f t="shared" si="4"/>
        <v>False</v>
      </c>
    </row>
    <row r="8" spans="1:9" x14ac:dyDescent="0.25">
      <c r="B8" s="38" t="b">
        <v>0</v>
      </c>
      <c r="C8" s="48" t="b">
        <v>0</v>
      </c>
      <c r="D8" s="38" t="b">
        <f t="shared" si="0"/>
        <v>1</v>
      </c>
      <c r="E8" s="38">
        <f t="shared" si="1"/>
        <v>1</v>
      </c>
      <c r="F8" s="38">
        <f t="shared" si="2"/>
        <v>1</v>
      </c>
      <c r="G8" s="62" t="str">
        <f t="shared" si="3"/>
        <v>Yes</v>
      </c>
      <c r="H8" s="62" t="str">
        <f t="shared" si="4"/>
        <v>True</v>
      </c>
    </row>
    <row r="9" spans="1:9" x14ac:dyDescent="0.25">
      <c r="I9" s="43"/>
    </row>
    <row r="10" spans="1:9" x14ac:dyDescent="0.25">
      <c r="B10" t="s">
        <v>51</v>
      </c>
    </row>
    <row r="11" spans="1:9" x14ac:dyDescent="0.25">
      <c r="B11" t="s">
        <v>52</v>
      </c>
    </row>
    <row r="13" spans="1:9" x14ac:dyDescent="0.25">
      <c r="B13" s="63" t="s">
        <v>53</v>
      </c>
    </row>
    <row r="15" spans="1:9" outlineLevel="1" x14ac:dyDescent="0.25">
      <c r="B15" s="60" t="s">
        <v>46</v>
      </c>
      <c r="C15" s="60" t="s">
        <v>47</v>
      </c>
    </row>
    <row r="16" spans="1:9" outlineLevel="1" x14ac:dyDescent="0.25">
      <c r="B16" s="48" t="s">
        <v>49</v>
      </c>
      <c r="C16" s="48" t="s">
        <v>49</v>
      </c>
      <c r="D16" s="120" t="str">
        <f>IF(B16=C16, "Yes", "No")</f>
        <v>Yes</v>
      </c>
    </row>
    <row r="17" spans="2:5" outlineLevel="1" x14ac:dyDescent="0.25">
      <c r="B17" s="38" t="s">
        <v>50</v>
      </c>
      <c r="C17" s="38" t="s">
        <v>54</v>
      </c>
      <c r="D17" s="120" t="str">
        <f>IF(B17=C17, "Yes", "No")</f>
        <v>No</v>
      </c>
      <c r="E17" t="s">
        <v>55</v>
      </c>
    </row>
    <row r="18" spans="2:5" outlineLevel="1" x14ac:dyDescent="0.25">
      <c r="B18" s="38">
        <v>234</v>
      </c>
      <c r="C18" s="38">
        <v>-32</v>
      </c>
      <c r="D18" s="120" t="str">
        <f>IF(B18=C18, "Yes", "No")</f>
        <v>No</v>
      </c>
    </row>
    <row r="19" spans="2:5" outlineLevel="1" x14ac:dyDescent="0.25">
      <c r="B19" s="38" t="b">
        <v>1</v>
      </c>
      <c r="C19" s="38" t="b">
        <v>0</v>
      </c>
      <c r="D19" s="120" t="str">
        <f t="shared" ref="D19:D20" si="5">IF(B19=C19, "Yes", "No")</f>
        <v>No</v>
      </c>
    </row>
    <row r="20" spans="2:5" outlineLevel="1" x14ac:dyDescent="0.25">
      <c r="B20" s="38" t="b">
        <v>0</v>
      </c>
      <c r="C20" s="38" t="b">
        <v>0</v>
      </c>
      <c r="D20" s="120" t="str">
        <f t="shared" si="5"/>
        <v>Yes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8D88-802D-41EB-8A78-C2E32189774F}">
  <dimension ref="A1:K26"/>
  <sheetViews>
    <sheetView workbookViewId="0">
      <selection activeCell="I4" sqref="I4"/>
    </sheetView>
  </sheetViews>
  <sheetFormatPr defaultRowHeight="15" outlineLevelRow="1" x14ac:dyDescent="0.25"/>
  <cols>
    <col min="1" max="1" width="4.28515625" customWidth="1"/>
    <col min="3" max="3" width="6.5703125" customWidth="1"/>
  </cols>
  <sheetData>
    <row r="1" spans="1:11" x14ac:dyDescent="0.25">
      <c r="A1" s="43" t="s">
        <v>56</v>
      </c>
    </row>
    <row r="3" spans="1:11" x14ac:dyDescent="0.25">
      <c r="B3" s="65" t="s">
        <v>57</v>
      </c>
      <c r="C3" s="66" t="s">
        <v>58</v>
      </c>
      <c r="H3" s="60" t="s">
        <v>58</v>
      </c>
      <c r="I3" s="60" t="s">
        <v>59</v>
      </c>
    </row>
    <row r="4" spans="1:11" x14ac:dyDescent="0.25">
      <c r="B4" s="67" t="s">
        <v>60</v>
      </c>
      <c r="C4" s="68">
        <v>0.97</v>
      </c>
      <c r="D4" s="69" t="str" cm="1">
        <f t="array" ref="D4">_xlfn.IFS(
          $C4&gt;=90%,"A",
          $C4&gt;=80%,"B",
          $C4&gt;=70%,"C",
          $C4&gt;=60%,"D",
          TRUE,"F")</f>
        <v>A</v>
      </c>
      <c r="E4" s="70" t="str" cm="1">
        <f t="array" ref="E4">_xlfn.IFS(
         $C4&gt;=90%,"A",
         $C4&gt;=80%,"B",
         $C4&gt;=70%,"C",
         $C4&gt;=60%,"D",
TRUE,"F")</f>
        <v>A</v>
      </c>
      <c r="H4" s="71" t="s">
        <v>61</v>
      </c>
      <c r="I4" s="48" t="s">
        <v>49</v>
      </c>
      <c r="K4" t="str" cm="1">
        <f t="array" ref="K4">_xlfn.IFS($C4&gt;=90%,"A",$C4&gt;=80%,"B",$C4&gt;=70%,"C",$C4&gt;=60%,"D",TRUE,"F")</f>
        <v>A</v>
      </c>
    </row>
    <row r="5" spans="1:11" x14ac:dyDescent="0.25">
      <c r="B5" s="67" t="s">
        <v>62</v>
      </c>
      <c r="C5" s="68">
        <v>0.45</v>
      </c>
      <c r="D5" s="69" t="str" cm="1">
        <f t="array" ref="D5">_xlfn.IFS(
          $C5&gt;=90%,"A",
          $C5&gt;=80%,"B",
          $C5&gt;=70%,"C",
          $C5&gt;=60%,"D",
          TRUE,"F")</f>
        <v>F</v>
      </c>
      <c r="E5" s="70" t="str" cm="1">
        <f t="array" ref="E5">_xlfn.IFS(
         $C5&gt;=90%,"A",
         $C5&gt;=80%,"B",
         $C5&gt;=70%,"C",
         $C5&gt;=60%,"D",
TRUE,"F")</f>
        <v>F</v>
      </c>
      <c r="H5" s="71" t="s">
        <v>63</v>
      </c>
      <c r="I5" s="48" t="s">
        <v>64</v>
      </c>
      <c r="K5" t="str" cm="1">
        <f t="array" ref="K5">_xlfn.IFS($C5&gt;=90%,"A",$C5&gt;=80%,"B",$C5&gt;=70%,"C",$C5&gt;=60%,"D",TRUE,"F")</f>
        <v>F</v>
      </c>
    </row>
    <row r="6" spans="1:11" x14ac:dyDescent="0.25">
      <c r="B6" s="67" t="s">
        <v>35</v>
      </c>
      <c r="C6" s="68">
        <v>0.87</v>
      </c>
      <c r="D6" s="69" t="str" cm="1">
        <f t="array" ref="D6">_xlfn.IFS(
          $C6&gt;=90%,"A",
          $C6&gt;=80%,"B",
          $C6&gt;=70%,"C",
          $C6&gt;=60%,"D",
          TRUE,"F")</f>
        <v>B</v>
      </c>
      <c r="E6" s="70" t="str" cm="1">
        <f t="array" ref="E6">_xlfn.IFS(
         $C6&gt;=90%,"A",
         $C6&gt;=80%,"B",
         $C6&gt;=70%,"C",
         $C6&gt;=60%,"D",
TRUE,"F")</f>
        <v>B</v>
      </c>
      <c r="H6" s="71" t="s">
        <v>65</v>
      </c>
      <c r="I6" s="48" t="s">
        <v>66</v>
      </c>
      <c r="K6" t="str" cm="1">
        <f t="array" ref="K6">_xlfn.IFS($C6&gt;=90%,"A",$C6&gt;=80%,"B",$C6&gt;=70%,"C",$C6&gt;=60%,"D",TRUE,"F")</f>
        <v>B</v>
      </c>
    </row>
    <row r="7" spans="1:11" x14ac:dyDescent="0.25">
      <c r="B7" s="67" t="s">
        <v>67</v>
      </c>
      <c r="C7" s="68">
        <v>0.75</v>
      </c>
      <c r="D7" s="69" t="str" cm="1">
        <f t="array" ref="D7">_xlfn.IFS(
          $C7&gt;=90%,"A",
          $C7&gt;=80%,"B",
          $C7&gt;=70%,"C",
          $C7&gt;=60%,"D",
          TRUE,"F")</f>
        <v>C</v>
      </c>
      <c r="E7" s="70" t="str" cm="1">
        <f t="array" ref="E7">_xlfn.IFS(
         $C7&gt;=90%,"A",
         $C7&gt;=80%,"B",
         $C7&gt;=70%,"C",
         $C7&gt;=60%,"D",
TRUE,"F")</f>
        <v>C</v>
      </c>
      <c r="H7" s="71" t="s">
        <v>68</v>
      </c>
      <c r="I7" s="48" t="s">
        <v>69</v>
      </c>
      <c r="K7" t="str" cm="1">
        <f t="array" ref="K7">_xlfn.IFS($C7&gt;=90%,"A",$C7&gt;=80%,"B",$C7&gt;=70%,"C",$C7&gt;=60%,"D",TRUE,"F")</f>
        <v>C</v>
      </c>
    </row>
    <row r="8" spans="1:11" x14ac:dyDescent="0.25">
      <c r="B8" s="67" t="s">
        <v>70</v>
      </c>
      <c r="C8" s="68">
        <v>0.69</v>
      </c>
      <c r="D8" s="69" t="str" cm="1">
        <f t="array" ref="D8">_xlfn.IFS(
          $C8&gt;=90%,"A",
          $C8&gt;=80%,"B",
          $C8&gt;=70%,"C",
          $C8&gt;=60%,"D",
          TRUE,"F")</f>
        <v>D</v>
      </c>
      <c r="E8" s="70" t="str" cm="1">
        <f t="array" ref="E8">_xlfn.IFS(
         $C8&gt;=90%,"A",
         $C8&gt;=80%,"B",
         $C8&gt;=70%,"C",
         $C8&gt;=60%,"D",
TRUE,"F")</f>
        <v>D</v>
      </c>
      <c r="H8" s="71" t="s">
        <v>71</v>
      </c>
      <c r="I8" s="48" t="s">
        <v>72</v>
      </c>
      <c r="K8" t="str" cm="1">
        <f t="array" ref="K8">_xlfn.IFS($C8&gt;=90%,"A",$C8&gt;=80%,"B",$C8&gt;=70%,"C",$C8&gt;=60%,"D",TRUE,"F")</f>
        <v>D</v>
      </c>
    </row>
    <row r="9" spans="1:11" x14ac:dyDescent="0.25">
      <c r="B9" s="67" t="s">
        <v>73</v>
      </c>
      <c r="C9" s="68">
        <v>0.33</v>
      </c>
      <c r="D9" s="69" t="str" cm="1">
        <f t="array" ref="D9">_xlfn.IFS(
          $C9&gt;=90%,"A",
          $C9&gt;=80%,"B",
          $C9&gt;=70%,"C",
          $C9&gt;=60%,"D",
          TRUE,"F")</f>
        <v>F</v>
      </c>
      <c r="E9" s="70" t="str" cm="1">
        <f t="array" ref="E9">_xlfn.IFS(
         $C9&gt;=90%,"A",
         $C9&gt;=80%,"B",
         $C9&gt;=70%,"C",
         $C9&gt;=60%,"D",
TRUE,"F")</f>
        <v>F</v>
      </c>
    </row>
    <row r="10" spans="1:11" x14ac:dyDescent="0.25">
      <c r="B10" s="72"/>
    </row>
    <row r="11" spans="1:11" x14ac:dyDescent="0.25">
      <c r="B11" t="s">
        <v>51</v>
      </c>
    </row>
    <row r="12" spans="1:11" x14ac:dyDescent="0.25">
      <c r="B12" t="s">
        <v>74</v>
      </c>
    </row>
    <row r="14" spans="1:11" x14ac:dyDescent="0.25">
      <c r="B14" s="63" t="s">
        <v>75</v>
      </c>
    </row>
    <row r="15" spans="1:11" x14ac:dyDescent="0.25">
      <c r="B15" t="s">
        <v>76</v>
      </c>
    </row>
    <row r="17" spans="2:5" hidden="1" outlineLevel="1" x14ac:dyDescent="0.25"/>
    <row r="18" spans="2:5" hidden="1" outlineLevel="1" x14ac:dyDescent="0.25">
      <c r="B18" s="65" t="s">
        <v>57</v>
      </c>
      <c r="C18" s="66" t="s">
        <v>58</v>
      </c>
    </row>
    <row r="19" spans="2:5" hidden="1" outlineLevel="1" x14ac:dyDescent="0.25">
      <c r="B19" s="67" t="s">
        <v>60</v>
      </c>
      <c r="C19" s="68">
        <v>0.97</v>
      </c>
      <c r="D19" s="64" t="str" cm="1">
        <f t="array" ref="D19">_xlfn.IFS(C4 &gt; 90%, $I$4, C4 &gt; 80%, $I$5, C4 &gt;70%,$I$6,C4&gt;60%,$I$7, TRUE, $I$8)</f>
        <v>A</v>
      </c>
      <c r="E19" t="str">
        <f ca="1">_xlfn.FORMULATEXT(D19)</f>
        <v>=IFS(C4 &gt; 90%, $I$4, C4 &gt; 80%, $I$5, C4 &gt;70%,$I$6,C4&gt;60%,$I$7, TRUE, $I$8)</v>
      </c>
    </row>
    <row r="20" spans="2:5" hidden="1" outlineLevel="1" x14ac:dyDescent="0.25">
      <c r="B20" s="67" t="s">
        <v>62</v>
      </c>
      <c r="C20" s="68">
        <v>0.45</v>
      </c>
      <c r="D20" s="64" t="str" cm="1">
        <f t="array" ref="D20">_xlfn.IFS(C5 &gt; 90%, $I$4, C5 &gt; 80%, $I$5, C5 &gt;70%,$I$6,C5&gt;60%,$I$7, TRUE, $I$8)</f>
        <v>F</v>
      </c>
      <c r="E20" t="str">
        <f t="shared" ref="E20:E23" ca="1" si="0">_xlfn.FORMULATEXT(D20)</f>
        <v>=IFS(C5 &gt; 90%, $I$4, C5 &gt; 80%, $I$5, C5 &gt;70%,$I$6,C5&gt;60%,$I$7, TRUE, $I$8)</v>
      </c>
    </row>
    <row r="21" spans="2:5" hidden="1" outlineLevel="1" x14ac:dyDescent="0.25">
      <c r="B21" s="67" t="s">
        <v>35</v>
      </c>
      <c r="C21" s="68">
        <v>0.87</v>
      </c>
      <c r="D21" s="64" t="str" cm="1">
        <f t="array" ref="D21">_xlfn.IFS(C6 &gt; 90%, $I$4, C6 &gt; 80%, $I$5, C6 &gt;70%,$I$6,C6&gt;60%,$I$7, TRUE, $I$8)</f>
        <v>B</v>
      </c>
      <c r="E21" t="str">
        <f t="shared" ca="1" si="0"/>
        <v>=IFS(C6 &gt; 90%, $I$4, C6 &gt; 80%, $I$5, C6 &gt;70%,$I$6,C6&gt;60%,$I$7, TRUE, $I$8)</v>
      </c>
    </row>
    <row r="22" spans="2:5" hidden="1" outlineLevel="1" x14ac:dyDescent="0.25">
      <c r="B22" s="67" t="s">
        <v>67</v>
      </c>
      <c r="C22" s="68">
        <v>0.75</v>
      </c>
      <c r="D22" s="64" t="str" cm="1">
        <f t="array" ref="D22">_xlfn.IFS(C7 &gt; 90%, $I$4, C7 &gt; 80%, $I$5, C7 &gt;70%,$I$6,C7&gt;60%,$I$7, TRUE, $I$8)</f>
        <v>C</v>
      </c>
      <c r="E22" t="str">
        <f t="shared" ca="1" si="0"/>
        <v>=IFS(C7 &gt; 90%, $I$4, C7 &gt; 80%, $I$5, C7 &gt;70%,$I$6,C7&gt;60%,$I$7, TRUE, $I$8)</v>
      </c>
    </row>
    <row r="23" spans="2:5" hidden="1" outlineLevel="1" x14ac:dyDescent="0.25">
      <c r="B23" s="67" t="s">
        <v>70</v>
      </c>
      <c r="C23" s="68">
        <v>0.69</v>
      </c>
      <c r="D23" s="64" t="str" cm="1">
        <f t="array" ref="D23">_xlfn.IFS(C8 &gt; 90%, $I$4, C8 &gt; 80%, $I$5, C8 &gt;70%,$I$6,C8&gt;60%,$I$7, TRUE, $I$8)</f>
        <v>D</v>
      </c>
      <c r="E23" t="str">
        <f t="shared" ca="1" si="0"/>
        <v>=IFS(C8 &gt; 90%, $I$4, C8 &gt; 80%, $I$5, C8 &gt;70%,$I$6,C8&gt;60%,$I$7, TRUE, $I$8)</v>
      </c>
    </row>
    <row r="24" spans="2:5" hidden="1" outlineLevel="1" x14ac:dyDescent="0.25"/>
    <row r="25" spans="2:5" hidden="1" outlineLevel="1" x14ac:dyDescent="0.25"/>
    <row r="26" spans="2:5" collapsed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15C7-B053-4612-8E87-34382E6A3055}">
  <dimension ref="A1:I21"/>
  <sheetViews>
    <sheetView workbookViewId="0">
      <selection activeCell="J11" sqref="J11"/>
    </sheetView>
  </sheetViews>
  <sheetFormatPr defaultRowHeight="15" outlineLevelRow="1" x14ac:dyDescent="0.25"/>
  <cols>
    <col min="1" max="1" width="4" customWidth="1"/>
    <col min="2" max="2" width="15.140625" customWidth="1"/>
    <col min="5" max="6" width="11.7109375" customWidth="1"/>
    <col min="7" max="7" width="11" customWidth="1"/>
  </cols>
  <sheetData>
    <row r="1" spans="1:9" x14ac:dyDescent="0.25">
      <c r="A1" s="43" t="s">
        <v>77</v>
      </c>
    </row>
    <row r="3" spans="1:9" x14ac:dyDescent="0.25">
      <c r="B3" s="43" t="s">
        <v>78</v>
      </c>
      <c r="C3" s="61" t="s">
        <v>79</v>
      </c>
      <c r="D3" s="43" t="s">
        <v>6</v>
      </c>
      <c r="H3" s="174" t="s">
        <v>80</v>
      </c>
      <c r="I3" s="174"/>
    </row>
    <row r="4" spans="1:9" x14ac:dyDescent="0.25">
      <c r="B4" t="s">
        <v>81</v>
      </c>
      <c r="C4" s="73">
        <v>2</v>
      </c>
      <c r="D4" s="64" t="str">
        <f>CHOOSE($C4,$I$5,$I$6,$I$7)</f>
        <v>Medium</v>
      </c>
      <c r="E4" t="str">
        <f>CHOOSE($C4,$I$5,$I$6,$I$7)</f>
        <v>Medium</v>
      </c>
      <c r="F4" t="str">
        <f>CHOOSE($C4,$I$5,$I$6,$I$7)</f>
        <v>Medium</v>
      </c>
      <c r="G4" t="str">
        <f>CHOOSE($C4,$I$5,$I$6,$I$7)</f>
        <v>Medium</v>
      </c>
      <c r="H4" s="61" t="s">
        <v>82</v>
      </c>
      <c r="I4" s="74" t="s">
        <v>6</v>
      </c>
    </row>
    <row r="5" spans="1:9" x14ac:dyDescent="0.25">
      <c r="B5" t="s">
        <v>83</v>
      </c>
      <c r="C5" s="73">
        <v>1</v>
      </c>
      <c r="D5" s="64" t="str">
        <f t="shared" ref="D5:E8" si="0">CHOOSE($C5,$I$5,$I$6,$I$7)</f>
        <v>Small</v>
      </c>
      <c r="E5" t="str">
        <f t="shared" si="0"/>
        <v>Small</v>
      </c>
      <c r="F5" t="str">
        <f t="shared" ref="F5:G8" si="1">CHOOSE($C5,$I$5,$I$6,$I$7)</f>
        <v>Small</v>
      </c>
      <c r="G5" t="str">
        <f t="shared" si="1"/>
        <v>Small</v>
      </c>
      <c r="H5" s="73">
        <v>1</v>
      </c>
      <c r="I5" t="s">
        <v>28</v>
      </c>
    </row>
    <row r="6" spans="1:9" x14ac:dyDescent="0.25">
      <c r="B6" t="s">
        <v>84</v>
      </c>
      <c r="C6" s="73">
        <v>3</v>
      </c>
      <c r="D6" s="64" t="str">
        <f t="shared" si="0"/>
        <v>Large</v>
      </c>
      <c r="E6" t="str">
        <f t="shared" si="0"/>
        <v>Large</v>
      </c>
      <c r="F6" t="str">
        <f t="shared" si="1"/>
        <v>Large</v>
      </c>
      <c r="G6" t="str">
        <f t="shared" si="1"/>
        <v>Large</v>
      </c>
      <c r="H6" s="73">
        <v>2</v>
      </c>
      <c r="I6" t="s">
        <v>85</v>
      </c>
    </row>
    <row r="7" spans="1:9" x14ac:dyDescent="0.25">
      <c r="C7" s="73">
        <v>1</v>
      </c>
      <c r="D7" s="64" t="str">
        <f t="shared" si="0"/>
        <v>Small</v>
      </c>
      <c r="E7" t="str">
        <f t="shared" si="0"/>
        <v>Small</v>
      </c>
      <c r="F7" t="str">
        <f t="shared" si="1"/>
        <v>Small</v>
      </c>
      <c r="G7" t="str">
        <f>CHOOSE($C7,$I$5,$I$6,$I$7)</f>
        <v>Small</v>
      </c>
      <c r="H7" s="73">
        <v>3</v>
      </c>
      <c r="I7" t="s">
        <v>86</v>
      </c>
    </row>
    <row r="8" spans="1:9" x14ac:dyDescent="0.25">
      <c r="C8" s="73">
        <v>3</v>
      </c>
      <c r="D8" s="64" t="str">
        <f t="shared" si="0"/>
        <v>Large</v>
      </c>
      <c r="E8" t="str">
        <f t="shared" si="0"/>
        <v>Large</v>
      </c>
      <c r="F8" t="str">
        <f t="shared" si="1"/>
        <v>Large</v>
      </c>
      <c r="G8" t="str">
        <f t="shared" si="1"/>
        <v>Large</v>
      </c>
    </row>
    <row r="9" spans="1:9" x14ac:dyDescent="0.25">
      <c r="B9" t="s">
        <v>20</v>
      </c>
    </row>
    <row r="10" spans="1:9" x14ac:dyDescent="0.25">
      <c r="B10" t="s">
        <v>87</v>
      </c>
    </row>
    <row r="12" spans="1:9" x14ac:dyDescent="0.25">
      <c r="B12" s="63" t="s">
        <v>88</v>
      </c>
    </row>
    <row r="14" spans="1:9" hidden="1" outlineLevel="1" x14ac:dyDescent="0.25"/>
    <row r="15" spans="1:9" hidden="1" outlineLevel="1" x14ac:dyDescent="0.25"/>
    <row r="16" spans="1:9" hidden="1" outlineLevel="1" x14ac:dyDescent="0.25">
      <c r="B16" s="43" t="s">
        <v>78</v>
      </c>
      <c r="C16" s="61" t="s">
        <v>79</v>
      </c>
      <c r="D16" s="43" t="s">
        <v>6</v>
      </c>
    </row>
    <row r="17" spans="2:4" hidden="1" outlineLevel="1" x14ac:dyDescent="0.25">
      <c r="B17" t="s">
        <v>81</v>
      </c>
      <c r="C17" s="73">
        <v>2</v>
      </c>
      <c r="D17" s="64" t="str">
        <f>CHOOSE(C17,$I$5,$I$6,$I$7)</f>
        <v>Medium</v>
      </c>
    </row>
    <row r="18" spans="2:4" hidden="1" outlineLevel="1" x14ac:dyDescent="0.25">
      <c r="B18" t="s">
        <v>83</v>
      </c>
      <c r="C18" s="73">
        <v>1</v>
      </c>
      <c r="D18" s="64" t="str">
        <f t="shared" ref="D18:D19" si="2">CHOOSE(C18,$I$5,$I$6,$I$7)</f>
        <v>Small</v>
      </c>
    </row>
    <row r="19" spans="2:4" hidden="1" outlineLevel="1" x14ac:dyDescent="0.25">
      <c r="B19" t="s">
        <v>84</v>
      </c>
      <c r="C19" s="73">
        <v>3</v>
      </c>
      <c r="D19" s="64" t="str">
        <f t="shared" si="2"/>
        <v>Large</v>
      </c>
    </row>
    <row r="20" spans="2:4" hidden="1" outlineLevel="1" x14ac:dyDescent="0.25"/>
    <row r="21" spans="2:4" collapsed="1" x14ac:dyDescent="0.25"/>
  </sheetData>
  <mergeCells count="1"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FE77-F81F-41D1-BDFA-DF2D172E7642}">
  <dimension ref="B2:H27"/>
  <sheetViews>
    <sheetView zoomScale="108" workbookViewId="0">
      <selection activeCell="D3" sqref="D3"/>
    </sheetView>
  </sheetViews>
  <sheetFormatPr defaultRowHeight="15" outlineLevelRow="1" x14ac:dyDescent="0.25"/>
  <cols>
    <col min="1" max="1" width="5" customWidth="1"/>
    <col min="4" max="5" width="17.85546875" bestFit="1" customWidth="1"/>
    <col min="6" max="6" width="17" customWidth="1"/>
  </cols>
  <sheetData>
    <row r="2" spans="2:8" x14ac:dyDescent="0.25">
      <c r="B2" s="75" t="s">
        <v>89</v>
      </c>
      <c r="C2" s="75" t="s">
        <v>90</v>
      </c>
      <c r="D2" s="75" t="s">
        <v>91</v>
      </c>
      <c r="E2" s="75" t="s">
        <v>91</v>
      </c>
      <c r="G2" s="75" t="s">
        <v>90</v>
      </c>
      <c r="H2" s="75" t="s">
        <v>92</v>
      </c>
    </row>
    <row r="3" spans="2:8" x14ac:dyDescent="0.25">
      <c r="B3" s="38" t="s">
        <v>93</v>
      </c>
      <c r="C3" s="38" t="s">
        <v>94</v>
      </c>
      <c r="D3" s="76" cm="1">
        <f t="array" ref="D3">_xlfn.SWITCH(C3,
                   "Associate",80%,
                   "Manager",90%,
                   "Partner",95%)</f>
        <v>0.9</v>
      </c>
      <c r="E3" s="76" cm="1">
        <f t="array" ref="E3">_xlfn.SWITCH(C3,
"Manager",90%,
"Associate",80%,
"Partner",95%)</f>
        <v>0.9</v>
      </c>
      <c r="G3" s="38" t="s">
        <v>95</v>
      </c>
      <c r="H3" s="77">
        <v>0.8</v>
      </c>
    </row>
    <row r="4" spans="2:8" x14ac:dyDescent="0.25">
      <c r="B4" s="38" t="s">
        <v>34</v>
      </c>
      <c r="C4" s="38" t="s">
        <v>95</v>
      </c>
      <c r="D4" s="76" cm="1">
        <f t="array" ref="D4">_xlfn.SWITCH(C4,
                   "Associate",80%,
                   "Manager",90%,
                   "Partner",95%)</f>
        <v>0.8</v>
      </c>
      <c r="E4" s="76" cm="1">
        <f t="array" ref="E4">_xlfn.SWITCH(C4,
"Manager",90%,
"Associate",80%,
"Partner",95%)</f>
        <v>0.8</v>
      </c>
      <c r="G4" s="38" t="s">
        <v>94</v>
      </c>
      <c r="H4" s="77">
        <v>0.9</v>
      </c>
    </row>
    <row r="5" spans="2:8" x14ac:dyDescent="0.25">
      <c r="B5" s="38" t="s">
        <v>37</v>
      </c>
      <c r="C5" s="38" t="s">
        <v>96</v>
      </c>
      <c r="D5" s="76" cm="1">
        <f t="array" ref="D5">_xlfn.SWITCH(C5,
                   "Associate",80%,
                   "Manager",90%,
                   "Partner",95%)</f>
        <v>0.95</v>
      </c>
      <c r="E5" s="76" cm="1">
        <f t="array" ref="E5">_xlfn.SWITCH(C5,
"Manager",90%,
"Associate",80%,
"Partner",95%)</f>
        <v>0.95</v>
      </c>
      <c r="G5" s="38" t="s">
        <v>96</v>
      </c>
      <c r="H5" s="77">
        <v>0.95</v>
      </c>
    </row>
    <row r="6" spans="2:8" x14ac:dyDescent="0.25">
      <c r="B6" s="38" t="s">
        <v>97</v>
      </c>
      <c r="C6" s="38" t="s">
        <v>95</v>
      </c>
      <c r="D6" s="76" cm="1">
        <f t="array" ref="D6">_xlfn.SWITCH(C6,
                   "Associate",80%,
                   "Manager",90%,
                   "Partner",95%)</f>
        <v>0.8</v>
      </c>
      <c r="E6" s="76" cm="1">
        <f t="array" ref="E6">_xlfn.SWITCH(C6,
"Manager",90%,
"Associate",80%,
"Partner",95%)</f>
        <v>0.8</v>
      </c>
    </row>
    <row r="8" spans="2:8" x14ac:dyDescent="0.25">
      <c r="F8" s="76"/>
    </row>
    <row r="9" spans="2:8" x14ac:dyDescent="0.25">
      <c r="B9" t="s">
        <v>12</v>
      </c>
    </row>
    <row r="10" spans="2:8" x14ac:dyDescent="0.25">
      <c r="B10" t="s">
        <v>98</v>
      </c>
    </row>
    <row r="16" spans="2:8" hidden="1" outlineLevel="1" x14ac:dyDescent="0.25"/>
    <row r="17" spans="2:8" hidden="1" outlineLevel="1" x14ac:dyDescent="0.25">
      <c r="B17" s="75" t="s">
        <v>89</v>
      </c>
      <c r="C17" s="75" t="s">
        <v>90</v>
      </c>
      <c r="D17" s="75" t="s">
        <v>91</v>
      </c>
      <c r="G17" s="75" t="s">
        <v>90</v>
      </c>
      <c r="H17" s="75" t="s">
        <v>92</v>
      </c>
    </row>
    <row r="18" spans="2:8" hidden="1" outlineLevel="1" x14ac:dyDescent="0.25">
      <c r="B18" s="38" t="s">
        <v>93</v>
      </c>
      <c r="C18" s="38" t="s">
        <v>94</v>
      </c>
      <c r="D18" s="76" cm="1">
        <f t="array" ref="D18">_xlfn.SWITCH(C18,"Associate",80%,"Manager",90%,"Partner",95%)</f>
        <v>0.9</v>
      </c>
      <c r="G18" s="38" t="s">
        <v>95</v>
      </c>
      <c r="H18" s="77">
        <v>0.8</v>
      </c>
    </row>
    <row r="19" spans="2:8" hidden="1" outlineLevel="1" x14ac:dyDescent="0.25">
      <c r="B19" s="38" t="s">
        <v>34</v>
      </c>
      <c r="C19" s="38" t="s">
        <v>95</v>
      </c>
      <c r="D19" s="76" cm="1">
        <f t="array" ref="D19">_xlfn.SWITCH(C19,"Associate",80%,"Manager",90%,"Partner",95%)</f>
        <v>0.8</v>
      </c>
      <c r="G19" s="38" t="s">
        <v>94</v>
      </c>
      <c r="H19" s="77">
        <v>0.9</v>
      </c>
    </row>
    <row r="20" spans="2:8" hidden="1" outlineLevel="1" x14ac:dyDescent="0.25">
      <c r="B20" s="38" t="s">
        <v>37</v>
      </c>
      <c r="C20" s="38" t="s">
        <v>96</v>
      </c>
      <c r="D20" s="76" cm="1">
        <f t="array" ref="D20">_xlfn.SWITCH(C20,"Associate",80%,"Manager",90%,"Partner",95%)</f>
        <v>0.95</v>
      </c>
      <c r="G20" s="38" t="s">
        <v>96</v>
      </c>
      <c r="H20" s="77">
        <v>0.95</v>
      </c>
    </row>
    <row r="21" spans="2:8" hidden="1" outlineLevel="1" x14ac:dyDescent="0.25">
      <c r="B21" s="38" t="s">
        <v>97</v>
      </c>
      <c r="C21" s="38" t="s">
        <v>95</v>
      </c>
      <c r="D21" s="76" cm="1">
        <f t="array" ref="D21">_xlfn.SWITCH(C21,"Associate",80%,"Manager",90%,"Partner",95%)</f>
        <v>0.8</v>
      </c>
    </row>
    <row r="22" spans="2:8" hidden="1" outlineLevel="1" x14ac:dyDescent="0.25"/>
    <row r="23" spans="2:8" hidden="1" outlineLevel="1" x14ac:dyDescent="0.25"/>
    <row r="24" spans="2:8" hidden="1" outlineLevel="1" x14ac:dyDescent="0.25">
      <c r="B24" t="s">
        <v>12</v>
      </c>
    </row>
    <row r="25" spans="2:8" hidden="1" outlineLevel="1" x14ac:dyDescent="0.25">
      <c r="B25" t="s">
        <v>98</v>
      </c>
    </row>
    <row r="26" spans="2:8" hidden="1" outlineLevel="1" x14ac:dyDescent="0.25"/>
    <row r="27" spans="2:8" collapsed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230B-E74F-4002-96BC-27E6E400EB65}">
  <dimension ref="B2:G16"/>
  <sheetViews>
    <sheetView workbookViewId="0">
      <selection activeCell="H3" sqref="H3"/>
    </sheetView>
  </sheetViews>
  <sheetFormatPr defaultRowHeight="15" x14ac:dyDescent="0.25"/>
  <cols>
    <col min="2" max="2" width="11.28515625" customWidth="1"/>
    <col min="4" max="4" width="19.85546875" customWidth="1"/>
    <col min="5" max="5" width="17.42578125" bestFit="1" customWidth="1"/>
  </cols>
  <sheetData>
    <row r="2" spans="2:7" x14ac:dyDescent="0.25">
      <c r="B2" s="75" t="s">
        <v>89</v>
      </c>
      <c r="C2" s="75" t="s">
        <v>90</v>
      </c>
      <c r="D2" s="75" t="s">
        <v>91</v>
      </c>
      <c r="E2" s="75" t="s">
        <v>156</v>
      </c>
    </row>
    <row r="3" spans="2:7" x14ac:dyDescent="0.25">
      <c r="B3" s="38" t="s">
        <v>93</v>
      </c>
      <c r="C3" s="38" t="s">
        <v>94</v>
      </c>
      <c r="D3" s="76">
        <v>0.7</v>
      </c>
      <c r="E3" s="107">
        <v>2</v>
      </c>
      <c r="G3">
        <f>SUMIFS(E3:E9,C3:C9,"Manager",D3:D9,"&gt;=80%")</f>
        <v>0</v>
      </c>
    </row>
    <row r="4" spans="2:7" x14ac:dyDescent="0.25">
      <c r="B4" s="38" t="s">
        <v>34</v>
      </c>
      <c r="C4" s="38" t="s">
        <v>95</v>
      </c>
      <c r="D4" s="76" cm="1">
        <f t="array" ref="D4">_xlfn.SWITCH(C4,
                          "Associate", 80%,
                          "Manager", 90%,
                          "Partner", 95%
)</f>
        <v>0.8</v>
      </c>
      <c r="E4" s="107">
        <v>5</v>
      </c>
    </row>
    <row r="5" spans="2:7" x14ac:dyDescent="0.25">
      <c r="B5" s="38" t="s">
        <v>37</v>
      </c>
      <c r="C5" s="38" t="s">
        <v>96</v>
      </c>
      <c r="D5" s="76" cm="1">
        <f t="array" ref="D5">_xlfn.SWITCH(C5,
                          "Associate", 80%,
                          "Manager", 90%,
                          "Partner", 95%
)</f>
        <v>0.95</v>
      </c>
      <c r="E5" s="107">
        <v>2</v>
      </c>
    </row>
    <row r="6" spans="2:7" x14ac:dyDescent="0.25">
      <c r="B6" s="38" t="s">
        <v>97</v>
      </c>
      <c r="C6" s="38" t="s">
        <v>95</v>
      </c>
      <c r="D6" s="76" cm="1">
        <f t="array" ref="D6">_xlfn.SWITCH(C6,
                          "Associate", 80%,
                          "Manager", 90%,
                          "Partner", 95%
)</f>
        <v>0.8</v>
      </c>
      <c r="E6" s="107">
        <v>1</v>
      </c>
    </row>
    <row r="7" spans="2:7" x14ac:dyDescent="0.25">
      <c r="B7" s="38" t="s">
        <v>157</v>
      </c>
      <c r="C7" s="38" t="s">
        <v>95</v>
      </c>
      <c r="D7" s="76" cm="1">
        <f t="array" ref="D7">_xlfn.SWITCH(C7,
                          "Associate", 80%,
                          "Manager", 90%,
                          "Partner", 95%
)</f>
        <v>0.8</v>
      </c>
      <c r="E7" s="107">
        <v>2</v>
      </c>
    </row>
    <row r="8" spans="2:7" x14ac:dyDescent="0.25">
      <c r="B8" s="38" t="s">
        <v>158</v>
      </c>
      <c r="C8" s="38" t="s">
        <v>96</v>
      </c>
      <c r="D8" s="76" cm="1">
        <f t="array" ref="D8">_xlfn.SWITCH(C8,
                          "Associate", 80%,
                          "Manager", 90%,
                          "Partner", 95%
)</f>
        <v>0.95</v>
      </c>
      <c r="E8" s="107">
        <v>6</v>
      </c>
    </row>
    <row r="9" spans="2:7" x14ac:dyDescent="0.25">
      <c r="B9" s="38" t="s">
        <v>159</v>
      </c>
      <c r="C9" s="38" t="s">
        <v>95</v>
      </c>
      <c r="D9" s="76" cm="1">
        <f t="array" ref="D9">_xlfn.SWITCH(C9,
                          "Associate", 80%,
                          "Manager", 90%,
                          "Partner", 95%
)</f>
        <v>0.8</v>
      </c>
      <c r="E9" s="107">
        <v>6</v>
      </c>
    </row>
    <row r="11" spans="2:7" x14ac:dyDescent="0.25">
      <c r="B11" t="s">
        <v>12</v>
      </c>
    </row>
    <row r="12" spans="2:7" x14ac:dyDescent="0.25">
      <c r="B12" t="s">
        <v>160</v>
      </c>
    </row>
    <row r="14" spans="2:7" x14ac:dyDescent="0.25">
      <c r="B14" t="s">
        <v>161</v>
      </c>
      <c r="E14" s="120">
        <f>SUMIF($C$2:$C$9,"Manager",$E$2:$E$9)</f>
        <v>2</v>
      </c>
      <c r="F14" s="120">
        <f>SUMIF($C$2:$C$9,$C$3,$E$2:$E$9)</f>
        <v>2</v>
      </c>
    </row>
    <row r="15" spans="2:7" x14ac:dyDescent="0.25">
      <c r="B15" t="s">
        <v>162</v>
      </c>
      <c r="E15" s="120">
        <f>COUNTIF($C$2:$C$9,"Associate")</f>
        <v>4</v>
      </c>
      <c r="F15" s="120">
        <f>COUNTIF($C$2:$C$9,$C$9)</f>
        <v>4</v>
      </c>
    </row>
    <row r="16" spans="2:7" x14ac:dyDescent="0.25">
      <c r="B16" t="s">
        <v>163</v>
      </c>
      <c r="E16" s="121">
        <f>AVERAGEIF($C$2:$C$9,"Partner",$E$2:$E$9)</f>
        <v>4</v>
      </c>
      <c r="F16" s="121">
        <f>AVERAGEIF($C$3:$C$9,"Partner",$E$3:$E$9)</f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AB8E-A54B-4A29-A28D-1EA7A632CEF0}">
  <dimension ref="A1:P77"/>
  <sheetViews>
    <sheetView topLeftCell="G1" workbookViewId="0">
      <selection activeCell="AB12" sqref="AB12"/>
    </sheetView>
  </sheetViews>
  <sheetFormatPr defaultRowHeight="15" outlineLevelRow="1" x14ac:dyDescent="0.25"/>
  <cols>
    <col min="1" max="1" width="2.28515625" customWidth="1"/>
    <col min="12" max="12" width="19.28515625" customWidth="1"/>
    <col min="16" max="16" width="16.28515625" customWidth="1"/>
    <col min="22" max="22" width="9.28515625" customWidth="1"/>
  </cols>
  <sheetData>
    <row r="1" spans="1:16" ht="15.75" thickBot="1" x14ac:dyDescent="0.3">
      <c r="A1" s="43" t="s">
        <v>164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O1" t="s">
        <v>178</v>
      </c>
    </row>
    <row r="2" spans="1:16" ht="15.75" thickBot="1" x14ac:dyDescent="0.3">
      <c r="B2" s="108" t="s">
        <v>19</v>
      </c>
      <c r="C2" s="109" t="s">
        <v>165</v>
      </c>
      <c r="D2" s="109" t="s">
        <v>166</v>
      </c>
      <c r="E2" s="109" t="s">
        <v>167</v>
      </c>
      <c r="F2" s="109" t="s">
        <v>168</v>
      </c>
      <c r="G2" s="109" t="s">
        <v>169</v>
      </c>
      <c r="H2" s="109" t="s">
        <v>170</v>
      </c>
      <c r="I2" s="109" t="s">
        <v>171</v>
      </c>
      <c r="J2" s="109" t="s">
        <v>172</v>
      </c>
      <c r="K2" s="110" t="s">
        <v>173</v>
      </c>
      <c r="L2" s="111" t="s">
        <v>174</v>
      </c>
      <c r="N2" s="175" t="s">
        <v>174</v>
      </c>
      <c r="O2" s="176"/>
      <c r="P2" s="122" t="s">
        <v>169</v>
      </c>
    </row>
    <row r="3" spans="1:16" x14ac:dyDescent="0.25">
      <c r="B3" s="112">
        <v>0</v>
      </c>
      <c r="C3" s="113"/>
      <c r="D3" s="114">
        <v>2418.8571428571427</v>
      </c>
      <c r="E3" s="113">
        <v>2369</v>
      </c>
      <c r="F3" s="113">
        <v>2476</v>
      </c>
      <c r="G3" s="113">
        <v>2440</v>
      </c>
      <c r="H3" s="113">
        <v>2331</v>
      </c>
      <c r="I3" s="113">
        <v>2427</v>
      </c>
      <c r="J3" s="113">
        <v>2415</v>
      </c>
      <c r="K3" s="115">
        <v>2474</v>
      </c>
      <c r="L3">
        <f>CHOOSE($D$29,$E3,$F3,$G3,$H3,$I3,$J3,$K3)</f>
        <v>2440</v>
      </c>
    </row>
    <row r="4" spans="1:16" x14ac:dyDescent="0.25">
      <c r="B4" s="112">
        <v>1</v>
      </c>
      <c r="C4" s="116">
        <v>4.1666666666666664E-2</v>
      </c>
      <c r="D4" s="114">
        <v>2460</v>
      </c>
      <c r="E4" s="113">
        <v>2394</v>
      </c>
      <c r="F4" s="113">
        <v>2539</v>
      </c>
      <c r="G4" s="113">
        <v>2419</v>
      </c>
      <c r="H4" s="113">
        <v>2537</v>
      </c>
      <c r="I4" s="113">
        <v>2389</v>
      </c>
      <c r="J4" s="113">
        <v>2415</v>
      </c>
      <c r="K4" s="115">
        <v>2527</v>
      </c>
      <c r="L4">
        <f>CHOOSE($D$29,$E4,$F4,$G4,$H4,$I4,$J4,$K4)</f>
        <v>2419</v>
      </c>
    </row>
    <row r="5" spans="1:16" x14ac:dyDescent="0.25">
      <c r="B5" s="112">
        <v>2</v>
      </c>
      <c r="C5" s="116">
        <v>8.3333333333333329E-2</v>
      </c>
      <c r="D5" s="114">
        <v>2503.5714285714284</v>
      </c>
      <c r="E5" s="113">
        <v>2482</v>
      </c>
      <c r="F5" s="113">
        <v>2505</v>
      </c>
      <c r="G5" s="113">
        <v>2475</v>
      </c>
      <c r="H5" s="113">
        <v>2527</v>
      </c>
      <c r="I5" s="113">
        <v>2546</v>
      </c>
      <c r="J5" s="113">
        <v>2509</v>
      </c>
      <c r="K5" s="115">
        <v>2481</v>
      </c>
      <c r="L5">
        <f t="shared" ref="L5:L27" si="0">CHOOSE($D$29,$E5,$F5,$G5,$H5,$I5,$J5,$K5)</f>
        <v>2475</v>
      </c>
    </row>
    <row r="6" spans="1:16" x14ac:dyDescent="0.25">
      <c r="B6" s="112">
        <v>3</v>
      </c>
      <c r="C6" s="116">
        <v>0.125</v>
      </c>
      <c r="D6" s="114">
        <v>2587.5714285714284</v>
      </c>
      <c r="E6" s="113">
        <v>2570</v>
      </c>
      <c r="F6" s="113">
        <v>2615</v>
      </c>
      <c r="G6" s="113">
        <v>2628</v>
      </c>
      <c r="H6" s="113">
        <v>2663</v>
      </c>
      <c r="I6" s="113">
        <v>2513</v>
      </c>
      <c r="J6" s="113">
        <v>2591</v>
      </c>
      <c r="K6" s="115">
        <v>2533</v>
      </c>
      <c r="L6">
        <f>CHOOSE($D$29,$E6,$F6,$G6,$H6,$I6,$J6,$K6)</f>
        <v>2628</v>
      </c>
    </row>
    <row r="7" spans="1:16" x14ac:dyDescent="0.25">
      <c r="B7" s="112">
        <v>4</v>
      </c>
      <c r="C7" s="116">
        <v>0.16666666666666699</v>
      </c>
      <c r="D7" s="114">
        <v>2701.5714285714284</v>
      </c>
      <c r="E7" s="113">
        <v>2789</v>
      </c>
      <c r="F7" s="113">
        <v>2647</v>
      </c>
      <c r="G7" s="113">
        <v>2643</v>
      </c>
      <c r="H7" s="113">
        <v>2659</v>
      </c>
      <c r="I7" s="113">
        <v>2766</v>
      </c>
      <c r="J7" s="113">
        <v>2754</v>
      </c>
      <c r="K7" s="115">
        <v>2653</v>
      </c>
      <c r="L7">
        <f t="shared" si="0"/>
        <v>2643</v>
      </c>
    </row>
    <row r="8" spans="1:16" x14ac:dyDescent="0.25">
      <c r="B8" s="112">
        <v>5</v>
      </c>
      <c r="C8" s="116">
        <v>0.20833333333333401</v>
      </c>
      <c r="D8" s="114">
        <v>2843.1428571428573</v>
      </c>
      <c r="E8" s="113">
        <v>2855</v>
      </c>
      <c r="F8" s="113">
        <v>2851</v>
      </c>
      <c r="G8" s="113">
        <v>2885</v>
      </c>
      <c r="H8" s="113">
        <v>2742</v>
      </c>
      <c r="I8" s="113">
        <v>2920</v>
      </c>
      <c r="J8" s="113">
        <v>2742</v>
      </c>
      <c r="K8" s="115">
        <v>2907</v>
      </c>
      <c r="L8">
        <f t="shared" si="0"/>
        <v>2885</v>
      </c>
    </row>
    <row r="9" spans="1:16" x14ac:dyDescent="0.25">
      <c r="B9" s="112">
        <v>6</v>
      </c>
      <c r="C9" s="116">
        <v>0.25</v>
      </c>
      <c r="D9" s="114">
        <v>2930.4285714285716</v>
      </c>
      <c r="E9" s="113">
        <v>2959</v>
      </c>
      <c r="F9" s="113">
        <v>2806</v>
      </c>
      <c r="G9" s="113">
        <v>2959</v>
      </c>
      <c r="H9" s="113">
        <v>2969</v>
      </c>
      <c r="I9" s="113">
        <v>2966</v>
      </c>
      <c r="J9" s="113">
        <v>2985</v>
      </c>
      <c r="K9" s="115">
        <v>2869</v>
      </c>
      <c r="L9">
        <f t="shared" si="0"/>
        <v>2959</v>
      </c>
    </row>
    <row r="10" spans="1:16" x14ac:dyDescent="0.25">
      <c r="B10" s="112">
        <v>7</v>
      </c>
      <c r="C10" s="116">
        <v>0.29166666666666702</v>
      </c>
      <c r="D10" s="114">
        <v>2905.1428571428573</v>
      </c>
      <c r="E10" s="113">
        <v>2883</v>
      </c>
      <c r="F10" s="113">
        <v>2929</v>
      </c>
      <c r="G10" s="113">
        <v>2915</v>
      </c>
      <c r="H10" s="113">
        <v>2881</v>
      </c>
      <c r="I10" s="113">
        <v>2868</v>
      </c>
      <c r="J10" s="113">
        <v>3014</v>
      </c>
      <c r="K10" s="115">
        <v>2846</v>
      </c>
      <c r="L10">
        <f>CHOOSE($D$29,$E10,$F10,$G10,$H10,$I10,$J10,$K10)</f>
        <v>2915</v>
      </c>
    </row>
    <row r="11" spans="1:16" x14ac:dyDescent="0.25">
      <c r="B11" s="112">
        <v>8</v>
      </c>
      <c r="C11" s="116">
        <v>0.33333333333333398</v>
      </c>
      <c r="D11" s="114">
        <v>2980.8571428571427</v>
      </c>
      <c r="E11" s="113">
        <v>2886</v>
      </c>
      <c r="F11" s="113">
        <v>2973</v>
      </c>
      <c r="G11" s="113">
        <v>3037</v>
      </c>
      <c r="H11" s="113">
        <v>2913</v>
      </c>
      <c r="I11" s="113">
        <v>2927</v>
      </c>
      <c r="J11" s="113">
        <v>3069</v>
      </c>
      <c r="K11" s="115">
        <v>3061</v>
      </c>
      <c r="L11">
        <f>CHOOSE($D$29,$E11,$F11,$G11,$H11,$I11,$J11,$K11)</f>
        <v>3037</v>
      </c>
    </row>
    <row r="12" spans="1:16" x14ac:dyDescent="0.25">
      <c r="B12" s="112">
        <v>9</v>
      </c>
      <c r="C12" s="116">
        <v>0.375</v>
      </c>
      <c r="D12" s="114">
        <v>2988.7142857142858</v>
      </c>
      <c r="E12" s="113">
        <v>2902</v>
      </c>
      <c r="F12" s="113">
        <v>3060</v>
      </c>
      <c r="G12" s="113">
        <v>2864</v>
      </c>
      <c r="H12" s="113">
        <v>3038</v>
      </c>
      <c r="I12" s="113">
        <v>3060</v>
      </c>
      <c r="J12" s="113">
        <v>3021</v>
      </c>
      <c r="K12" s="115">
        <v>2976</v>
      </c>
      <c r="L12">
        <f t="shared" si="0"/>
        <v>2864</v>
      </c>
    </row>
    <row r="13" spans="1:16" x14ac:dyDescent="0.25">
      <c r="B13" s="112">
        <v>10</v>
      </c>
      <c r="C13" s="116">
        <v>0.41666666666666702</v>
      </c>
      <c r="D13" s="114">
        <v>2824.2857142857142</v>
      </c>
      <c r="E13" s="113">
        <v>2884</v>
      </c>
      <c r="F13" s="113">
        <v>2827</v>
      </c>
      <c r="G13" s="113">
        <v>2805</v>
      </c>
      <c r="H13" s="113">
        <v>2777</v>
      </c>
      <c r="I13" s="113">
        <v>2873</v>
      </c>
      <c r="J13" s="113">
        <v>2764</v>
      </c>
      <c r="K13" s="115">
        <v>2840</v>
      </c>
      <c r="L13">
        <f t="shared" si="0"/>
        <v>2805</v>
      </c>
    </row>
    <row r="14" spans="1:16" x14ac:dyDescent="0.25">
      <c r="B14" s="112">
        <v>11</v>
      </c>
      <c r="C14" s="116">
        <v>0.45833333333333398</v>
      </c>
      <c r="D14" s="114">
        <v>2389.7142857142858</v>
      </c>
      <c r="E14" s="113">
        <v>2328</v>
      </c>
      <c r="F14" s="113">
        <v>2456</v>
      </c>
      <c r="G14" s="113">
        <v>2317</v>
      </c>
      <c r="H14" s="113">
        <v>2380</v>
      </c>
      <c r="I14" s="113">
        <v>2416</v>
      </c>
      <c r="J14" s="113">
        <v>2416</v>
      </c>
      <c r="K14" s="115">
        <v>2415</v>
      </c>
      <c r="L14">
        <f t="shared" si="0"/>
        <v>2317</v>
      </c>
    </row>
    <row r="15" spans="1:16" x14ac:dyDescent="0.25">
      <c r="B15" s="112">
        <v>12</v>
      </c>
      <c r="C15" s="116">
        <v>0.5</v>
      </c>
      <c r="D15" s="114">
        <v>1902.8571428571429</v>
      </c>
      <c r="E15" s="113">
        <v>1835</v>
      </c>
      <c r="F15" s="113">
        <v>1890</v>
      </c>
      <c r="G15" s="113">
        <v>1968</v>
      </c>
      <c r="H15" s="113">
        <v>1935</v>
      </c>
      <c r="I15" s="113">
        <v>1898</v>
      </c>
      <c r="J15" s="113">
        <v>1850</v>
      </c>
      <c r="K15" s="115">
        <v>1944</v>
      </c>
      <c r="L15">
        <f t="shared" si="0"/>
        <v>1968</v>
      </c>
    </row>
    <row r="16" spans="1:16" x14ac:dyDescent="0.25">
      <c r="B16" s="112">
        <v>13</v>
      </c>
      <c r="C16" s="116">
        <v>0.54166666666666696</v>
      </c>
      <c r="D16" s="114">
        <v>1609</v>
      </c>
      <c r="E16" s="113">
        <v>1596</v>
      </c>
      <c r="F16" s="113">
        <v>1622</v>
      </c>
      <c r="G16" s="113">
        <v>1636</v>
      </c>
      <c r="H16" s="113">
        <v>1590</v>
      </c>
      <c r="I16" s="113">
        <v>1565</v>
      </c>
      <c r="J16" s="113">
        <v>1657</v>
      </c>
      <c r="K16" s="115">
        <v>1597</v>
      </c>
      <c r="L16">
        <f t="shared" si="0"/>
        <v>1636</v>
      </c>
    </row>
    <row r="17" spans="2:12" x14ac:dyDescent="0.25">
      <c r="B17" s="112">
        <v>14</v>
      </c>
      <c r="C17" s="116">
        <v>0.58333333333333404</v>
      </c>
      <c r="D17" s="114">
        <v>1384.7142857142858</v>
      </c>
      <c r="E17" s="113">
        <v>1393</v>
      </c>
      <c r="F17" s="113">
        <v>1392</v>
      </c>
      <c r="G17" s="113">
        <v>1425</v>
      </c>
      <c r="H17" s="113">
        <v>1453</v>
      </c>
      <c r="I17" s="113">
        <v>1372</v>
      </c>
      <c r="J17" s="113">
        <v>1338</v>
      </c>
      <c r="K17" s="115">
        <v>1320</v>
      </c>
      <c r="L17">
        <f t="shared" si="0"/>
        <v>1425</v>
      </c>
    </row>
    <row r="18" spans="2:12" x14ac:dyDescent="0.25">
      <c r="B18" s="112">
        <v>15</v>
      </c>
      <c r="C18" s="116">
        <v>0.625</v>
      </c>
      <c r="D18" s="114">
        <v>1251.4285714285713</v>
      </c>
      <c r="E18" s="113">
        <v>1271</v>
      </c>
      <c r="F18" s="113">
        <v>1194</v>
      </c>
      <c r="G18" s="113">
        <v>1206</v>
      </c>
      <c r="H18" s="113">
        <v>1260</v>
      </c>
      <c r="I18" s="113">
        <v>1290</v>
      </c>
      <c r="J18" s="113">
        <v>1311</v>
      </c>
      <c r="K18" s="115">
        <v>1228</v>
      </c>
      <c r="L18">
        <f t="shared" si="0"/>
        <v>1206</v>
      </c>
    </row>
    <row r="19" spans="2:12" x14ac:dyDescent="0.25">
      <c r="B19" s="112">
        <v>16</v>
      </c>
      <c r="C19" s="116">
        <v>0.66666666666666696</v>
      </c>
      <c r="D19" s="114">
        <v>1153</v>
      </c>
      <c r="E19" s="113">
        <v>1140</v>
      </c>
      <c r="F19" s="113">
        <v>1152</v>
      </c>
      <c r="G19" s="113">
        <v>1112</v>
      </c>
      <c r="H19" s="113">
        <v>1284</v>
      </c>
      <c r="I19" s="113">
        <v>1134</v>
      </c>
      <c r="J19" s="113">
        <v>1144</v>
      </c>
      <c r="K19" s="115">
        <v>1105</v>
      </c>
      <c r="L19">
        <f t="shared" si="0"/>
        <v>1112</v>
      </c>
    </row>
    <row r="20" spans="2:12" x14ac:dyDescent="0.25">
      <c r="B20" s="112">
        <v>17</v>
      </c>
      <c r="C20" s="116">
        <v>0.70833333333333404</v>
      </c>
      <c r="D20" s="114">
        <v>1329.2857142857142</v>
      </c>
      <c r="E20" s="113">
        <v>1305</v>
      </c>
      <c r="F20" s="113">
        <v>1398</v>
      </c>
      <c r="G20" s="113">
        <v>1256</v>
      </c>
      <c r="H20" s="113">
        <v>1353</v>
      </c>
      <c r="I20" s="113">
        <v>1292</v>
      </c>
      <c r="J20" s="113">
        <v>1320</v>
      </c>
      <c r="K20" s="115">
        <v>1381</v>
      </c>
      <c r="L20">
        <f t="shared" si="0"/>
        <v>1256</v>
      </c>
    </row>
    <row r="21" spans="2:12" x14ac:dyDescent="0.25">
      <c r="B21" s="112">
        <v>18</v>
      </c>
      <c r="C21" s="116">
        <v>0.75</v>
      </c>
      <c r="D21" s="114">
        <v>1585.2857142857142</v>
      </c>
      <c r="E21" s="113">
        <v>1528</v>
      </c>
      <c r="F21" s="113">
        <v>1506</v>
      </c>
      <c r="G21" s="113">
        <v>1636</v>
      </c>
      <c r="H21" s="113">
        <v>1635</v>
      </c>
      <c r="I21" s="113">
        <v>1680</v>
      </c>
      <c r="J21" s="113">
        <v>1514</v>
      </c>
      <c r="K21" s="115">
        <v>1598</v>
      </c>
      <c r="L21">
        <f t="shared" si="0"/>
        <v>1636</v>
      </c>
    </row>
    <row r="22" spans="2:12" x14ac:dyDescent="0.25">
      <c r="B22" s="112">
        <v>19</v>
      </c>
      <c r="C22" s="116">
        <v>0.79166666666666696</v>
      </c>
      <c r="D22" s="114">
        <v>1895.2857142857142</v>
      </c>
      <c r="E22" s="113">
        <v>2005</v>
      </c>
      <c r="F22" s="113">
        <v>1832</v>
      </c>
      <c r="G22" s="113">
        <v>1821</v>
      </c>
      <c r="H22" s="113">
        <v>1925</v>
      </c>
      <c r="I22" s="113">
        <v>1836</v>
      </c>
      <c r="J22" s="113">
        <v>1851</v>
      </c>
      <c r="K22" s="115">
        <v>1997</v>
      </c>
      <c r="L22">
        <f t="shared" si="0"/>
        <v>1821</v>
      </c>
    </row>
    <row r="23" spans="2:12" x14ac:dyDescent="0.25">
      <c r="B23" s="112">
        <v>20</v>
      </c>
      <c r="C23" s="116">
        <v>0.83333333333333404</v>
      </c>
      <c r="D23" s="114">
        <v>2179.7142857142858</v>
      </c>
      <c r="E23" s="113">
        <v>2188</v>
      </c>
      <c r="F23" s="113">
        <v>2084</v>
      </c>
      <c r="G23" s="113">
        <v>2148</v>
      </c>
      <c r="H23" s="113">
        <v>2237</v>
      </c>
      <c r="I23" s="113">
        <v>2226</v>
      </c>
      <c r="J23" s="113">
        <v>2216</v>
      </c>
      <c r="K23" s="115">
        <v>2159</v>
      </c>
      <c r="L23">
        <f t="shared" si="0"/>
        <v>2148</v>
      </c>
    </row>
    <row r="24" spans="2:12" x14ac:dyDescent="0.25">
      <c r="B24" s="112">
        <v>21</v>
      </c>
      <c r="C24" s="116">
        <v>0.875</v>
      </c>
      <c r="D24" s="114">
        <v>2349.5714285714284</v>
      </c>
      <c r="E24" s="113">
        <v>2399</v>
      </c>
      <c r="F24" s="113">
        <v>2432</v>
      </c>
      <c r="G24" s="113">
        <v>2240</v>
      </c>
      <c r="H24" s="113">
        <v>2351</v>
      </c>
      <c r="I24" s="113">
        <v>2375</v>
      </c>
      <c r="J24" s="113">
        <v>2308</v>
      </c>
      <c r="K24" s="115">
        <v>2342</v>
      </c>
      <c r="L24">
        <f t="shared" si="0"/>
        <v>2240</v>
      </c>
    </row>
    <row r="25" spans="2:12" x14ac:dyDescent="0.25">
      <c r="B25" s="112">
        <v>22</v>
      </c>
      <c r="C25" s="116">
        <v>0.91666666666666696</v>
      </c>
      <c r="D25" s="114">
        <v>2486.8571428571427</v>
      </c>
      <c r="E25" s="113">
        <v>2412</v>
      </c>
      <c r="F25" s="113">
        <v>2471</v>
      </c>
      <c r="G25" s="113">
        <v>2527</v>
      </c>
      <c r="H25" s="113">
        <v>2494</v>
      </c>
      <c r="I25" s="113">
        <v>2465</v>
      </c>
      <c r="J25" s="113">
        <v>2544</v>
      </c>
      <c r="K25" s="115">
        <v>2495</v>
      </c>
      <c r="L25">
        <f t="shared" si="0"/>
        <v>2527</v>
      </c>
    </row>
    <row r="26" spans="2:12" x14ac:dyDescent="0.25">
      <c r="B26" s="112">
        <v>23</v>
      </c>
      <c r="C26" s="116">
        <v>0.95833333333333404</v>
      </c>
      <c r="D26" s="114">
        <v>2694.7142857142858</v>
      </c>
      <c r="E26" s="113">
        <v>2685</v>
      </c>
      <c r="F26" s="113">
        <v>2727</v>
      </c>
      <c r="G26" s="113">
        <v>2645</v>
      </c>
      <c r="H26" s="113">
        <v>2760</v>
      </c>
      <c r="I26" s="113">
        <v>2708</v>
      </c>
      <c r="J26" s="113">
        <v>2737</v>
      </c>
      <c r="K26" s="115">
        <v>2601</v>
      </c>
      <c r="L26">
        <f t="shared" si="0"/>
        <v>2645</v>
      </c>
    </row>
    <row r="27" spans="2:12" x14ac:dyDescent="0.25">
      <c r="B27" s="117">
        <v>24</v>
      </c>
      <c r="C27" s="118"/>
      <c r="D27" s="118">
        <v>2419</v>
      </c>
      <c r="E27" s="118">
        <v>2351</v>
      </c>
      <c r="F27" s="118">
        <v>2513</v>
      </c>
      <c r="G27" s="118">
        <v>2349</v>
      </c>
      <c r="H27" s="118">
        <v>2507</v>
      </c>
      <c r="I27" s="118">
        <v>2356</v>
      </c>
      <c r="J27" s="118">
        <v>2404</v>
      </c>
      <c r="K27" s="119">
        <v>2416</v>
      </c>
      <c r="L27">
        <f t="shared" si="0"/>
        <v>2349</v>
      </c>
    </row>
    <row r="28" spans="2:12" ht="15.75" thickBot="1" x14ac:dyDescent="0.3"/>
    <row r="29" spans="2:12" ht="15.75" thickBot="1" x14ac:dyDescent="0.3">
      <c r="B29" s="177" t="s">
        <v>175</v>
      </c>
      <c r="C29" s="178"/>
      <c r="D29" s="106">
        <f>MATCH(P2,E2:K2)</f>
        <v>3</v>
      </c>
      <c r="E29" t="s">
        <v>176</v>
      </c>
    </row>
    <row r="31" spans="2:12" x14ac:dyDescent="0.25">
      <c r="B31" t="s">
        <v>177</v>
      </c>
    </row>
    <row r="44" spans="2:16" hidden="1" outlineLevel="1" x14ac:dyDescent="0.25"/>
    <row r="45" spans="2:16" hidden="1" outlineLevel="1" x14ac:dyDescent="0.25"/>
    <row r="46" spans="2:16" hidden="1" outlineLevel="1" x14ac:dyDescent="0.25"/>
    <row r="47" spans="2:16" ht="15.75" hidden="1" outlineLevel="1" thickBot="1" x14ac:dyDescent="0.3">
      <c r="B47" s="108" t="s">
        <v>19</v>
      </c>
      <c r="C47" s="109" t="s">
        <v>165</v>
      </c>
      <c r="D47" s="109" t="s">
        <v>166</v>
      </c>
      <c r="E47" s="109" t="s">
        <v>167</v>
      </c>
      <c r="F47" s="109" t="s">
        <v>168</v>
      </c>
      <c r="G47" s="109" t="s">
        <v>169</v>
      </c>
      <c r="H47" s="109" t="s">
        <v>170</v>
      </c>
      <c r="I47" s="109" t="s">
        <v>171</v>
      </c>
      <c r="J47" s="109" t="s">
        <v>172</v>
      </c>
      <c r="K47" s="110" t="s">
        <v>173</v>
      </c>
      <c r="L47" s="111" t="s">
        <v>174</v>
      </c>
      <c r="N47" s="175" t="s">
        <v>174</v>
      </c>
      <c r="O47" s="176"/>
      <c r="P47" s="106" t="s">
        <v>172</v>
      </c>
    </row>
    <row r="48" spans="2:16" hidden="1" outlineLevel="1" x14ac:dyDescent="0.25">
      <c r="B48" s="112">
        <v>0</v>
      </c>
      <c r="C48" s="113"/>
      <c r="D48" s="114">
        <v>2418.8571428571427</v>
      </c>
      <c r="E48" s="113">
        <v>2369</v>
      </c>
      <c r="F48" s="113">
        <v>2476</v>
      </c>
      <c r="G48" s="113">
        <v>2440</v>
      </c>
      <c r="H48" s="113">
        <v>2331</v>
      </c>
      <c r="I48" s="113">
        <v>2427</v>
      </c>
      <c r="J48" s="113">
        <v>2415</v>
      </c>
      <c r="K48" s="115">
        <v>2474</v>
      </c>
      <c r="L48">
        <f t="shared" ref="L48:L72" si="1">CHOOSE($D$74,E48,F48,G48,H48,I48,J48,K48)</f>
        <v>2415</v>
      </c>
    </row>
    <row r="49" spans="2:12" hidden="1" outlineLevel="1" x14ac:dyDescent="0.25">
      <c r="B49" s="112">
        <v>1</v>
      </c>
      <c r="C49" s="116">
        <v>4.1666666666666664E-2</v>
      </c>
      <c r="D49" s="114">
        <v>2460</v>
      </c>
      <c r="E49" s="113">
        <v>2394</v>
      </c>
      <c r="F49" s="113">
        <v>2539</v>
      </c>
      <c r="G49" s="113">
        <v>2419</v>
      </c>
      <c r="H49" s="113">
        <v>2537</v>
      </c>
      <c r="I49" s="113">
        <v>2389</v>
      </c>
      <c r="J49" s="113">
        <v>2415</v>
      </c>
      <c r="K49" s="115">
        <v>2527</v>
      </c>
      <c r="L49">
        <f t="shared" si="1"/>
        <v>2415</v>
      </c>
    </row>
    <row r="50" spans="2:12" hidden="1" outlineLevel="1" x14ac:dyDescent="0.25">
      <c r="B50" s="112">
        <v>2</v>
      </c>
      <c r="C50" s="116">
        <v>8.3333333333333329E-2</v>
      </c>
      <c r="D50" s="114">
        <v>2503.5714285714284</v>
      </c>
      <c r="E50" s="113">
        <v>2482</v>
      </c>
      <c r="F50" s="113">
        <v>2505</v>
      </c>
      <c r="G50" s="113">
        <v>2475</v>
      </c>
      <c r="H50" s="113">
        <v>2527</v>
      </c>
      <c r="I50" s="113">
        <v>2546</v>
      </c>
      <c r="J50" s="113">
        <v>2509</v>
      </c>
      <c r="K50" s="115">
        <v>2481</v>
      </c>
      <c r="L50">
        <f t="shared" si="1"/>
        <v>2509</v>
      </c>
    </row>
    <row r="51" spans="2:12" hidden="1" outlineLevel="1" x14ac:dyDescent="0.25">
      <c r="B51" s="112">
        <v>3</v>
      </c>
      <c r="C51" s="116">
        <v>0.125</v>
      </c>
      <c r="D51" s="114">
        <v>2587.5714285714284</v>
      </c>
      <c r="E51" s="113">
        <v>2570</v>
      </c>
      <c r="F51" s="113">
        <v>2615</v>
      </c>
      <c r="G51" s="113">
        <v>2628</v>
      </c>
      <c r="H51" s="113">
        <v>2663</v>
      </c>
      <c r="I51" s="113">
        <v>2513</v>
      </c>
      <c r="J51" s="113">
        <v>2591</v>
      </c>
      <c r="K51" s="115">
        <v>2533</v>
      </c>
      <c r="L51">
        <f t="shared" si="1"/>
        <v>2591</v>
      </c>
    </row>
    <row r="52" spans="2:12" hidden="1" outlineLevel="1" x14ac:dyDescent="0.25">
      <c r="B52" s="112">
        <v>4</v>
      </c>
      <c r="C52" s="116">
        <v>0.16666666666666699</v>
      </c>
      <c r="D52" s="114">
        <v>2701.5714285714284</v>
      </c>
      <c r="E52" s="113">
        <v>2789</v>
      </c>
      <c r="F52" s="113">
        <v>2647</v>
      </c>
      <c r="G52" s="113">
        <v>2643</v>
      </c>
      <c r="H52" s="113">
        <v>2659</v>
      </c>
      <c r="I52" s="113">
        <v>2766</v>
      </c>
      <c r="J52" s="113">
        <v>2754</v>
      </c>
      <c r="K52" s="115">
        <v>2653</v>
      </c>
      <c r="L52">
        <f t="shared" si="1"/>
        <v>2754</v>
      </c>
    </row>
    <row r="53" spans="2:12" hidden="1" outlineLevel="1" x14ac:dyDescent="0.25">
      <c r="B53" s="112">
        <v>5</v>
      </c>
      <c r="C53" s="116">
        <v>0.20833333333333401</v>
      </c>
      <c r="D53" s="114">
        <v>2843.1428571428573</v>
      </c>
      <c r="E53" s="113">
        <v>2855</v>
      </c>
      <c r="F53" s="113">
        <v>2851</v>
      </c>
      <c r="G53" s="113">
        <v>2885</v>
      </c>
      <c r="H53" s="113">
        <v>2742</v>
      </c>
      <c r="I53" s="113">
        <v>2920</v>
      </c>
      <c r="J53" s="113">
        <v>2742</v>
      </c>
      <c r="K53" s="115">
        <v>2907</v>
      </c>
      <c r="L53">
        <f t="shared" si="1"/>
        <v>2742</v>
      </c>
    </row>
    <row r="54" spans="2:12" hidden="1" outlineLevel="1" x14ac:dyDescent="0.25">
      <c r="B54" s="112">
        <v>6</v>
      </c>
      <c r="C54" s="116">
        <v>0.25</v>
      </c>
      <c r="D54" s="114">
        <v>2930.4285714285716</v>
      </c>
      <c r="E54" s="113">
        <v>2959</v>
      </c>
      <c r="F54" s="113">
        <v>2806</v>
      </c>
      <c r="G54" s="113">
        <v>2959</v>
      </c>
      <c r="H54" s="113">
        <v>2969</v>
      </c>
      <c r="I54" s="113">
        <v>2966</v>
      </c>
      <c r="J54" s="113">
        <v>2985</v>
      </c>
      <c r="K54" s="115">
        <v>2869</v>
      </c>
      <c r="L54">
        <f t="shared" si="1"/>
        <v>2985</v>
      </c>
    </row>
    <row r="55" spans="2:12" hidden="1" outlineLevel="1" x14ac:dyDescent="0.25">
      <c r="B55" s="112">
        <v>7</v>
      </c>
      <c r="C55" s="116">
        <v>0.29166666666666702</v>
      </c>
      <c r="D55" s="114">
        <v>2905.1428571428573</v>
      </c>
      <c r="E55" s="113">
        <v>2883</v>
      </c>
      <c r="F55" s="113">
        <v>2929</v>
      </c>
      <c r="G55" s="113">
        <v>2915</v>
      </c>
      <c r="H55" s="113">
        <v>2881</v>
      </c>
      <c r="I55" s="113">
        <v>2868</v>
      </c>
      <c r="J55" s="113">
        <v>3014</v>
      </c>
      <c r="K55" s="115">
        <v>2846</v>
      </c>
      <c r="L55">
        <f t="shared" si="1"/>
        <v>3014</v>
      </c>
    </row>
    <row r="56" spans="2:12" hidden="1" outlineLevel="1" x14ac:dyDescent="0.25">
      <c r="B56" s="112">
        <v>8</v>
      </c>
      <c r="C56" s="116">
        <v>0.33333333333333398</v>
      </c>
      <c r="D56" s="114">
        <v>2980.8571428571427</v>
      </c>
      <c r="E56" s="113">
        <v>2886</v>
      </c>
      <c r="F56" s="113">
        <v>2973</v>
      </c>
      <c r="G56" s="113">
        <v>3037</v>
      </c>
      <c r="H56" s="113">
        <v>2913</v>
      </c>
      <c r="I56" s="113">
        <v>2927</v>
      </c>
      <c r="J56" s="113">
        <v>3069</v>
      </c>
      <c r="K56" s="115">
        <v>3061</v>
      </c>
      <c r="L56">
        <f t="shared" si="1"/>
        <v>3069</v>
      </c>
    </row>
    <row r="57" spans="2:12" hidden="1" outlineLevel="1" x14ac:dyDescent="0.25">
      <c r="B57" s="112">
        <v>9</v>
      </c>
      <c r="C57" s="116">
        <v>0.375</v>
      </c>
      <c r="D57" s="114">
        <v>2988.7142857142858</v>
      </c>
      <c r="E57" s="113">
        <v>2902</v>
      </c>
      <c r="F57" s="113">
        <v>3060</v>
      </c>
      <c r="G57" s="113">
        <v>2864</v>
      </c>
      <c r="H57" s="113">
        <v>3038</v>
      </c>
      <c r="I57" s="113">
        <v>3060</v>
      </c>
      <c r="J57" s="113">
        <v>3021</v>
      </c>
      <c r="K57" s="115">
        <v>2976</v>
      </c>
      <c r="L57">
        <f t="shared" si="1"/>
        <v>3021</v>
      </c>
    </row>
    <row r="58" spans="2:12" hidden="1" outlineLevel="1" x14ac:dyDescent="0.25">
      <c r="B58" s="112">
        <v>10</v>
      </c>
      <c r="C58" s="116">
        <v>0.41666666666666702</v>
      </c>
      <c r="D58" s="114">
        <v>2824.2857142857142</v>
      </c>
      <c r="E58" s="113">
        <v>2884</v>
      </c>
      <c r="F58" s="113">
        <v>2827</v>
      </c>
      <c r="G58" s="113">
        <v>2805</v>
      </c>
      <c r="H58" s="113">
        <v>2777</v>
      </c>
      <c r="I58" s="113">
        <v>2873</v>
      </c>
      <c r="J58" s="113">
        <v>2764</v>
      </c>
      <c r="K58" s="115">
        <v>2840</v>
      </c>
      <c r="L58">
        <f t="shared" si="1"/>
        <v>2764</v>
      </c>
    </row>
    <row r="59" spans="2:12" hidden="1" outlineLevel="1" x14ac:dyDescent="0.25">
      <c r="B59" s="112">
        <v>11</v>
      </c>
      <c r="C59" s="116">
        <v>0.45833333333333398</v>
      </c>
      <c r="D59" s="114">
        <v>2389.7142857142858</v>
      </c>
      <c r="E59" s="113">
        <v>2328</v>
      </c>
      <c r="F59" s="113">
        <v>2456</v>
      </c>
      <c r="G59" s="113">
        <v>2317</v>
      </c>
      <c r="H59" s="113">
        <v>2380</v>
      </c>
      <c r="I59" s="113">
        <v>2416</v>
      </c>
      <c r="J59" s="113">
        <v>2416</v>
      </c>
      <c r="K59" s="115">
        <v>2415</v>
      </c>
      <c r="L59">
        <f t="shared" si="1"/>
        <v>2416</v>
      </c>
    </row>
    <row r="60" spans="2:12" hidden="1" outlineLevel="1" x14ac:dyDescent="0.25">
      <c r="B60" s="112">
        <v>12</v>
      </c>
      <c r="C60" s="116">
        <v>0.5</v>
      </c>
      <c r="D60" s="114">
        <v>1902.8571428571429</v>
      </c>
      <c r="E60" s="113">
        <v>1835</v>
      </c>
      <c r="F60" s="113">
        <v>1890</v>
      </c>
      <c r="G60" s="113">
        <v>1968</v>
      </c>
      <c r="H60" s="113">
        <v>1935</v>
      </c>
      <c r="I60" s="113">
        <v>1898</v>
      </c>
      <c r="J60" s="113">
        <v>1850</v>
      </c>
      <c r="K60" s="115">
        <v>1944</v>
      </c>
      <c r="L60">
        <f t="shared" si="1"/>
        <v>1850</v>
      </c>
    </row>
    <row r="61" spans="2:12" hidden="1" outlineLevel="1" x14ac:dyDescent="0.25">
      <c r="B61" s="112">
        <v>13</v>
      </c>
      <c r="C61" s="116">
        <v>0.54166666666666696</v>
      </c>
      <c r="D61" s="114">
        <v>1609</v>
      </c>
      <c r="E61" s="113">
        <v>1596</v>
      </c>
      <c r="F61" s="113">
        <v>1622</v>
      </c>
      <c r="G61" s="113">
        <v>1636</v>
      </c>
      <c r="H61" s="113">
        <v>1590</v>
      </c>
      <c r="I61" s="113">
        <v>1565</v>
      </c>
      <c r="J61" s="113">
        <v>1657</v>
      </c>
      <c r="K61" s="115">
        <v>1597</v>
      </c>
      <c r="L61">
        <f t="shared" si="1"/>
        <v>1657</v>
      </c>
    </row>
    <row r="62" spans="2:12" hidden="1" outlineLevel="1" x14ac:dyDescent="0.25">
      <c r="B62" s="112">
        <v>14</v>
      </c>
      <c r="C62" s="116">
        <v>0.58333333333333404</v>
      </c>
      <c r="D62" s="114">
        <v>1384.7142857142858</v>
      </c>
      <c r="E62" s="113">
        <v>1393</v>
      </c>
      <c r="F62" s="113">
        <v>1392</v>
      </c>
      <c r="G62" s="113">
        <v>1425</v>
      </c>
      <c r="H62" s="113">
        <v>1453</v>
      </c>
      <c r="I62" s="113">
        <v>1372</v>
      </c>
      <c r="J62" s="113">
        <v>1338</v>
      </c>
      <c r="K62" s="115">
        <v>1320</v>
      </c>
      <c r="L62">
        <f t="shared" si="1"/>
        <v>1338</v>
      </c>
    </row>
    <row r="63" spans="2:12" hidden="1" outlineLevel="1" x14ac:dyDescent="0.25">
      <c r="B63" s="112">
        <v>15</v>
      </c>
      <c r="C63" s="116">
        <v>0.625</v>
      </c>
      <c r="D63" s="114">
        <v>1251.4285714285713</v>
      </c>
      <c r="E63" s="113">
        <v>1271</v>
      </c>
      <c r="F63" s="113">
        <v>1194</v>
      </c>
      <c r="G63" s="113">
        <v>1206</v>
      </c>
      <c r="H63" s="113">
        <v>1260</v>
      </c>
      <c r="I63" s="113">
        <v>1290</v>
      </c>
      <c r="J63" s="113">
        <v>1311</v>
      </c>
      <c r="K63" s="115">
        <v>1228</v>
      </c>
      <c r="L63">
        <f t="shared" si="1"/>
        <v>1311</v>
      </c>
    </row>
    <row r="64" spans="2:12" hidden="1" outlineLevel="1" x14ac:dyDescent="0.25">
      <c r="B64" s="112">
        <v>16</v>
      </c>
      <c r="C64" s="116">
        <v>0.66666666666666696</v>
      </c>
      <c r="D64" s="114">
        <v>1153</v>
      </c>
      <c r="E64" s="113">
        <v>1140</v>
      </c>
      <c r="F64" s="113">
        <v>1152</v>
      </c>
      <c r="G64" s="113">
        <v>1112</v>
      </c>
      <c r="H64" s="113">
        <v>1284</v>
      </c>
      <c r="I64" s="113">
        <v>1134</v>
      </c>
      <c r="J64" s="113">
        <v>1144</v>
      </c>
      <c r="K64" s="115">
        <v>1105</v>
      </c>
      <c r="L64">
        <f t="shared" si="1"/>
        <v>1144</v>
      </c>
    </row>
    <row r="65" spans="2:12" hidden="1" outlineLevel="1" x14ac:dyDescent="0.25">
      <c r="B65" s="112">
        <v>17</v>
      </c>
      <c r="C65" s="116">
        <v>0.70833333333333404</v>
      </c>
      <c r="D65" s="114">
        <v>1329.2857142857142</v>
      </c>
      <c r="E65" s="113">
        <v>1305</v>
      </c>
      <c r="F65" s="113">
        <v>1398</v>
      </c>
      <c r="G65" s="113">
        <v>1256</v>
      </c>
      <c r="H65" s="113">
        <v>1353</v>
      </c>
      <c r="I65" s="113">
        <v>1292</v>
      </c>
      <c r="J65" s="113">
        <v>1320</v>
      </c>
      <c r="K65" s="115">
        <v>1381</v>
      </c>
      <c r="L65">
        <f t="shared" si="1"/>
        <v>1320</v>
      </c>
    </row>
    <row r="66" spans="2:12" hidden="1" outlineLevel="1" x14ac:dyDescent="0.25">
      <c r="B66" s="112">
        <v>18</v>
      </c>
      <c r="C66" s="116">
        <v>0.75</v>
      </c>
      <c r="D66" s="114">
        <v>1585.2857142857142</v>
      </c>
      <c r="E66" s="113">
        <v>1528</v>
      </c>
      <c r="F66" s="113">
        <v>1506</v>
      </c>
      <c r="G66" s="113">
        <v>1636</v>
      </c>
      <c r="H66" s="113">
        <v>1635</v>
      </c>
      <c r="I66" s="113">
        <v>1680</v>
      </c>
      <c r="J66" s="113">
        <v>1514</v>
      </c>
      <c r="K66" s="115">
        <v>1598</v>
      </c>
      <c r="L66">
        <f t="shared" si="1"/>
        <v>1514</v>
      </c>
    </row>
    <row r="67" spans="2:12" hidden="1" outlineLevel="1" x14ac:dyDescent="0.25">
      <c r="B67" s="112">
        <v>19</v>
      </c>
      <c r="C67" s="116">
        <v>0.79166666666666696</v>
      </c>
      <c r="D67" s="114">
        <v>1895.2857142857142</v>
      </c>
      <c r="E67" s="113">
        <v>2005</v>
      </c>
      <c r="F67" s="113">
        <v>1832</v>
      </c>
      <c r="G67" s="113">
        <v>1821</v>
      </c>
      <c r="H67" s="113">
        <v>1925</v>
      </c>
      <c r="I67" s="113">
        <v>1836</v>
      </c>
      <c r="J67" s="113">
        <v>1851</v>
      </c>
      <c r="K67" s="115">
        <v>1997</v>
      </c>
      <c r="L67">
        <f t="shared" si="1"/>
        <v>1851</v>
      </c>
    </row>
    <row r="68" spans="2:12" hidden="1" outlineLevel="1" x14ac:dyDescent="0.25">
      <c r="B68" s="112">
        <v>20</v>
      </c>
      <c r="C68" s="116">
        <v>0.83333333333333404</v>
      </c>
      <c r="D68" s="114">
        <v>2179.7142857142858</v>
      </c>
      <c r="E68" s="113">
        <v>2188</v>
      </c>
      <c r="F68" s="113">
        <v>2084</v>
      </c>
      <c r="G68" s="113">
        <v>2148</v>
      </c>
      <c r="H68" s="113">
        <v>2237</v>
      </c>
      <c r="I68" s="113">
        <v>2226</v>
      </c>
      <c r="J68" s="113">
        <v>2216</v>
      </c>
      <c r="K68" s="115">
        <v>2159</v>
      </c>
      <c r="L68">
        <f t="shared" si="1"/>
        <v>2216</v>
      </c>
    </row>
    <row r="69" spans="2:12" hidden="1" outlineLevel="1" x14ac:dyDescent="0.25">
      <c r="B69" s="112">
        <v>21</v>
      </c>
      <c r="C69" s="116">
        <v>0.875</v>
      </c>
      <c r="D69" s="114">
        <v>2349.5714285714284</v>
      </c>
      <c r="E69" s="113">
        <v>2399</v>
      </c>
      <c r="F69" s="113">
        <v>2432</v>
      </c>
      <c r="G69" s="113">
        <v>2240</v>
      </c>
      <c r="H69" s="113">
        <v>2351</v>
      </c>
      <c r="I69" s="113">
        <v>2375</v>
      </c>
      <c r="J69" s="113">
        <v>2308</v>
      </c>
      <c r="K69" s="115">
        <v>2342</v>
      </c>
      <c r="L69">
        <f t="shared" si="1"/>
        <v>2308</v>
      </c>
    </row>
    <row r="70" spans="2:12" hidden="1" outlineLevel="1" x14ac:dyDescent="0.25">
      <c r="B70" s="112">
        <v>22</v>
      </c>
      <c r="C70" s="116">
        <v>0.91666666666666696</v>
      </c>
      <c r="D70" s="114">
        <v>2486.8571428571427</v>
      </c>
      <c r="E70" s="113">
        <v>2412</v>
      </c>
      <c r="F70" s="113">
        <v>2471</v>
      </c>
      <c r="G70" s="113">
        <v>2527</v>
      </c>
      <c r="H70" s="113">
        <v>2494</v>
      </c>
      <c r="I70" s="113">
        <v>2465</v>
      </c>
      <c r="J70" s="113">
        <v>2544</v>
      </c>
      <c r="K70" s="115">
        <v>2495</v>
      </c>
      <c r="L70">
        <f t="shared" si="1"/>
        <v>2544</v>
      </c>
    </row>
    <row r="71" spans="2:12" hidden="1" outlineLevel="1" x14ac:dyDescent="0.25">
      <c r="B71" s="112">
        <v>23</v>
      </c>
      <c r="C71" s="116">
        <v>0.95833333333333404</v>
      </c>
      <c r="D71" s="114">
        <v>2694.7142857142858</v>
      </c>
      <c r="E71" s="113">
        <v>2685</v>
      </c>
      <c r="F71" s="113">
        <v>2727</v>
      </c>
      <c r="G71" s="113">
        <v>2645</v>
      </c>
      <c r="H71" s="113">
        <v>2760</v>
      </c>
      <c r="I71" s="113">
        <v>2708</v>
      </c>
      <c r="J71" s="113">
        <v>2737</v>
      </c>
      <c r="K71" s="115">
        <v>2601</v>
      </c>
      <c r="L71">
        <f t="shared" si="1"/>
        <v>2737</v>
      </c>
    </row>
    <row r="72" spans="2:12" hidden="1" outlineLevel="1" x14ac:dyDescent="0.25">
      <c r="B72" s="117">
        <v>24</v>
      </c>
      <c r="C72" s="118"/>
      <c r="D72" s="118">
        <v>2419</v>
      </c>
      <c r="E72" s="118">
        <v>2351</v>
      </c>
      <c r="F72" s="118">
        <v>2513</v>
      </c>
      <c r="G72" s="118">
        <v>2349</v>
      </c>
      <c r="H72" s="118">
        <v>2507</v>
      </c>
      <c r="I72" s="118">
        <v>2356</v>
      </c>
      <c r="J72" s="118">
        <v>2404</v>
      </c>
      <c r="K72" s="119">
        <v>2416</v>
      </c>
      <c r="L72">
        <f t="shared" si="1"/>
        <v>2404</v>
      </c>
    </row>
    <row r="73" spans="2:12" hidden="1" outlineLevel="1" x14ac:dyDescent="0.25"/>
    <row r="74" spans="2:12" ht="15.75" hidden="1" outlineLevel="1" thickBot="1" x14ac:dyDescent="0.3">
      <c r="B74" s="177" t="s">
        <v>175</v>
      </c>
      <c r="C74" s="177"/>
      <c r="D74" s="106">
        <f>MATCH(P47,$E$47:$K$47,0)</f>
        <v>6</v>
      </c>
    </row>
    <row r="75" spans="2:12" hidden="1" outlineLevel="1" x14ac:dyDescent="0.25"/>
    <row r="76" spans="2:12" hidden="1" outlineLevel="1" x14ac:dyDescent="0.25"/>
    <row r="77" spans="2:12" collapsed="1" x14ac:dyDescent="0.25"/>
  </sheetData>
  <mergeCells count="4">
    <mergeCell ref="N2:O2"/>
    <mergeCell ref="B29:C29"/>
    <mergeCell ref="N47:O47"/>
    <mergeCell ref="B74:C74"/>
  </mergeCells>
  <dataValidations count="2">
    <dataValidation type="list" allowBlank="1" showInputMessage="1" showErrorMessage="1" sqref="P47" xr:uid="{0B18E7A3-57FB-4702-877A-EFC639689AA7}">
      <formula1>$E$47:$K$47</formula1>
    </dataValidation>
    <dataValidation type="list" allowBlank="1" showInputMessage="1" showErrorMessage="1" sqref="P2" xr:uid="{3060D2B0-4903-40D8-8444-BF6B147FBFAD}">
      <formula1>$E$2:$K$2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243F-A2DA-4AE1-A37F-157251CE9FCC}">
  <dimension ref="I2:U2"/>
  <sheetViews>
    <sheetView workbookViewId="0">
      <selection activeCell="I2" sqref="I2:U2"/>
    </sheetView>
  </sheetViews>
  <sheetFormatPr defaultRowHeight="15" x14ac:dyDescent="0.25"/>
  <cols>
    <col min="1" max="16384" width="9.140625" style="78"/>
  </cols>
  <sheetData>
    <row r="2" spans="9:21" ht="60.75" x14ac:dyDescent="0.8">
      <c r="I2" s="173" t="s">
        <v>100</v>
      </c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</row>
  </sheetData>
  <mergeCells count="1">
    <mergeCell ref="I2:U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C19D-6A7C-4D06-8B6E-BA47FADC63EF}">
  <dimension ref="A1:M51"/>
  <sheetViews>
    <sheetView topLeftCell="B1" workbookViewId="0">
      <selection activeCell="Y52" activeCellId="1" sqref="B9 Y52"/>
    </sheetView>
  </sheetViews>
  <sheetFormatPr defaultColWidth="9" defaultRowHeight="15.75" outlineLevelRow="1" x14ac:dyDescent="0.25"/>
  <cols>
    <col min="1" max="1" width="1.7109375" style="2" customWidth="1"/>
    <col min="2" max="2" width="19.7109375" style="2" customWidth="1"/>
    <col min="3" max="3" width="3" style="2" customWidth="1"/>
    <col min="4" max="6" width="9" style="2"/>
    <col min="7" max="7" width="1" style="2" customWidth="1"/>
    <col min="8" max="8" width="0.85546875" style="2" customWidth="1"/>
    <col min="9" max="9" width="3" style="2" customWidth="1"/>
    <col min="10" max="10" width="9" style="2"/>
    <col min="11" max="11" width="14.140625" style="2" customWidth="1"/>
    <col min="12" max="12" width="0" style="2" hidden="1" customWidth="1"/>
    <col min="13" max="16384" width="9" style="2"/>
  </cols>
  <sheetData>
    <row r="1" spans="1:13" x14ac:dyDescent="0.25">
      <c r="A1" s="1"/>
    </row>
    <row r="2" spans="1:13" ht="7.5" customHeight="1" x14ac:dyDescent="0.25">
      <c r="A2" s="3"/>
      <c r="B2" s="3"/>
      <c r="C2" s="3"/>
      <c r="D2" s="3"/>
      <c r="E2" s="3"/>
      <c r="F2" s="3"/>
      <c r="G2" s="3"/>
      <c r="H2" s="3"/>
    </row>
    <row r="3" spans="1:13" ht="51" customHeight="1" x14ac:dyDescent="0.25">
      <c r="A3" s="3"/>
      <c r="B3" s="4"/>
      <c r="C3" s="5"/>
      <c r="D3" s="5"/>
      <c r="E3" s="5"/>
      <c r="F3" s="5"/>
      <c r="G3" s="5"/>
      <c r="H3" s="3"/>
      <c r="J3" s="6" t="str">
        <f>L5</f>
        <v>How much for a large latte?</v>
      </c>
    </row>
    <row r="4" spans="1:13" ht="22.5" customHeight="1" x14ac:dyDescent="0.75">
      <c r="A4" s="3"/>
      <c r="B4" s="79"/>
      <c r="C4" s="80" t="s">
        <v>0</v>
      </c>
      <c r="D4" s="80" t="s">
        <v>1</v>
      </c>
      <c r="E4" s="80" t="s">
        <v>2</v>
      </c>
      <c r="F4" s="8"/>
      <c r="G4" s="3"/>
      <c r="H4" s="3"/>
    </row>
    <row r="5" spans="1:13" ht="23.25" customHeight="1" x14ac:dyDescent="0.25">
      <c r="A5" s="3"/>
      <c r="B5" s="81" t="s">
        <v>3</v>
      </c>
      <c r="C5" s="82">
        <v>1.99</v>
      </c>
      <c r="D5" s="82">
        <v>2.99</v>
      </c>
      <c r="E5" s="82">
        <v>3.99</v>
      </c>
      <c r="F5" s="3"/>
      <c r="G5" s="3"/>
      <c r="H5" s="3"/>
      <c r="J5" s="11" t="s">
        <v>4</v>
      </c>
      <c r="K5" s="12" t="s">
        <v>7</v>
      </c>
      <c r="L5" s="2" t="str">
        <f>"How much for a " &amp;K6&amp; " " &amp;K5&amp;"?"</f>
        <v>How much for a large latte?</v>
      </c>
    </row>
    <row r="6" spans="1:13" ht="18.75" customHeight="1" x14ac:dyDescent="0.25">
      <c r="A6" s="3"/>
      <c r="B6" s="81" t="s">
        <v>5</v>
      </c>
      <c r="C6" s="82">
        <v>1.99</v>
      </c>
      <c r="D6" s="82">
        <v>2.99</v>
      </c>
      <c r="E6" s="82">
        <v>3.99</v>
      </c>
      <c r="F6" s="3"/>
      <c r="G6" s="3"/>
      <c r="H6" s="3"/>
      <c r="J6" s="13" t="s">
        <v>6</v>
      </c>
      <c r="K6" s="12" t="s">
        <v>2</v>
      </c>
    </row>
    <row r="7" spans="1:13" ht="18.75" customHeight="1" x14ac:dyDescent="0.25">
      <c r="A7" s="3"/>
      <c r="B7" s="81" t="s">
        <v>7</v>
      </c>
      <c r="C7" s="82">
        <v>2.75</v>
      </c>
      <c r="D7" s="82">
        <v>3.75</v>
      </c>
      <c r="E7" s="82">
        <v>4.25</v>
      </c>
      <c r="F7" s="3"/>
      <c r="G7" s="3"/>
      <c r="H7" s="3"/>
    </row>
    <row r="8" spans="1:13" ht="18.75" customHeight="1" x14ac:dyDescent="0.25">
      <c r="A8" s="3"/>
      <c r="B8" s="81" t="s">
        <v>8</v>
      </c>
      <c r="C8" s="82">
        <v>2.95</v>
      </c>
      <c r="D8" s="82">
        <v>3.95</v>
      </c>
      <c r="E8" s="82">
        <v>4.95</v>
      </c>
      <c r="F8" s="3"/>
      <c r="G8" s="3"/>
      <c r="H8" s="3"/>
      <c r="J8" s="13" t="s">
        <v>9</v>
      </c>
      <c r="K8" s="13">
        <f>VLOOKUP($K$5,$B$4:$E$10,4,FALSE)</f>
        <v>4.25</v>
      </c>
    </row>
    <row r="9" spans="1:13" ht="18.75" customHeight="1" x14ac:dyDescent="0.25">
      <c r="A9" s="3"/>
      <c r="B9" s="81" t="s">
        <v>10</v>
      </c>
      <c r="C9" s="82">
        <v>2.75</v>
      </c>
      <c r="D9" s="82">
        <v>3.75</v>
      </c>
      <c r="E9" s="82">
        <v>4.25</v>
      </c>
      <c r="F9" s="3"/>
      <c r="G9" s="3"/>
      <c r="H9" s="3"/>
      <c r="K9" s="2">
        <f>VLOOKUP($K$5,$B$4:$E$10,4,FALSE)</f>
        <v>4.25</v>
      </c>
    </row>
    <row r="10" spans="1:13" ht="18.75" customHeight="1" x14ac:dyDescent="0.25">
      <c r="A10" s="3"/>
      <c r="B10" s="81" t="s">
        <v>11</v>
      </c>
      <c r="C10" s="82">
        <v>0.99</v>
      </c>
      <c r="D10" s="82">
        <v>1.99</v>
      </c>
      <c r="E10" s="82">
        <v>2.99</v>
      </c>
      <c r="F10" s="3"/>
      <c r="G10" s="3"/>
      <c r="H10" s="3"/>
      <c r="J10" s="2" t="s">
        <v>20</v>
      </c>
    </row>
    <row r="11" spans="1:13" ht="6" customHeight="1" x14ac:dyDescent="0.25">
      <c r="A11" s="3"/>
      <c r="B11" s="3"/>
      <c r="C11" s="3"/>
      <c r="D11" s="3"/>
      <c r="E11" s="3"/>
      <c r="F11" s="3"/>
      <c r="G11" s="3"/>
      <c r="H11" s="3"/>
    </row>
    <row r="12" spans="1:13" x14ac:dyDescent="0.25">
      <c r="J12" s="2" t="s">
        <v>21</v>
      </c>
    </row>
    <row r="14" spans="1:13" x14ac:dyDescent="0.25">
      <c r="J14" s="14" t="s">
        <v>22</v>
      </c>
    </row>
    <row r="15" spans="1:13" x14ac:dyDescent="0.25">
      <c r="B15" s="172"/>
      <c r="C15" s="172"/>
      <c r="D15" s="172"/>
      <c r="E15" s="172"/>
      <c r="F15" s="172"/>
      <c r="I15" s="172"/>
      <c r="J15" s="172"/>
      <c r="K15" s="172"/>
      <c r="L15" s="172"/>
      <c r="M15" s="172"/>
    </row>
    <row r="16" spans="1:13" hidden="1" x14ac:dyDescent="0.25"/>
    <row r="17" spans="1:12" hidden="1" x14ac:dyDescent="0.25"/>
    <row r="18" spans="1:12" hidden="1" x14ac:dyDescent="0.25"/>
    <row r="19" spans="1:12" ht="7.5" hidden="1" customHeight="1" x14ac:dyDescent="0.25">
      <c r="A19" s="3"/>
      <c r="B19" s="3"/>
      <c r="C19" s="3"/>
      <c r="D19" s="3"/>
      <c r="E19" s="3"/>
      <c r="F19" s="3"/>
      <c r="G19" s="3"/>
      <c r="H19" s="3"/>
    </row>
    <row r="20" spans="1:12" ht="51" hidden="1" customHeight="1" x14ac:dyDescent="0.25">
      <c r="A20" s="3"/>
      <c r="B20" s="4"/>
      <c r="C20" s="5"/>
      <c r="D20" s="5"/>
      <c r="E20" s="5"/>
      <c r="F20" s="5"/>
      <c r="G20" s="5"/>
      <c r="H20" s="3"/>
    </row>
    <row r="21" spans="1:12" ht="22.5" hidden="1" customHeight="1" x14ac:dyDescent="0.7">
      <c r="A21" s="3"/>
      <c r="B21" s="3"/>
      <c r="C21" s="15" t="s">
        <v>0</v>
      </c>
      <c r="D21" s="15" t="s">
        <v>1</v>
      </c>
      <c r="E21" s="15" t="s">
        <v>2</v>
      </c>
      <c r="F21" s="8"/>
      <c r="G21" s="3"/>
      <c r="H21" s="3"/>
    </row>
    <row r="22" spans="1:12" ht="18.75" hidden="1" customHeight="1" x14ac:dyDescent="0.25">
      <c r="A22" s="3"/>
      <c r="B22" s="16" t="s">
        <v>3</v>
      </c>
      <c r="C22" s="8">
        <v>1.99</v>
      </c>
      <c r="D22" s="8">
        <v>2.99</v>
      </c>
      <c r="E22" s="8">
        <v>3.99</v>
      </c>
      <c r="F22" s="3"/>
      <c r="G22" s="3"/>
      <c r="H22" s="3"/>
      <c r="J22" s="11" t="s">
        <v>4</v>
      </c>
      <c r="K22" s="12" t="s">
        <v>7</v>
      </c>
      <c r="L22" s="2" t="str">
        <f>"How much for a " &amp;K23&amp; " " &amp;K22&amp;"?"</f>
        <v>How much for a medium latte?</v>
      </c>
    </row>
    <row r="23" spans="1:12" ht="18.75" hidden="1" customHeight="1" x14ac:dyDescent="0.25">
      <c r="A23" s="3"/>
      <c r="B23" s="16" t="s">
        <v>5</v>
      </c>
      <c r="C23" s="8">
        <v>1.99</v>
      </c>
      <c r="D23" s="8">
        <v>2.99</v>
      </c>
      <c r="E23" s="8">
        <v>3.99</v>
      </c>
      <c r="F23" s="3"/>
      <c r="G23" s="3"/>
      <c r="H23" s="3"/>
      <c r="J23" s="13" t="s">
        <v>6</v>
      </c>
      <c r="K23" s="12" t="s">
        <v>1</v>
      </c>
    </row>
    <row r="24" spans="1:12" ht="18.75" hidden="1" customHeight="1" x14ac:dyDescent="0.25">
      <c r="A24" s="3"/>
      <c r="B24" s="16" t="s">
        <v>7</v>
      </c>
      <c r="C24" s="8">
        <v>2.75</v>
      </c>
      <c r="D24" s="8">
        <v>3.75</v>
      </c>
      <c r="E24" s="8">
        <v>4.25</v>
      </c>
      <c r="F24" s="3"/>
      <c r="G24" s="3"/>
      <c r="H24" s="3"/>
    </row>
    <row r="25" spans="1:12" ht="18.75" hidden="1" customHeight="1" x14ac:dyDescent="0.25">
      <c r="A25" s="3"/>
      <c r="B25" s="16" t="s">
        <v>8</v>
      </c>
      <c r="C25" s="8">
        <v>2.95</v>
      </c>
      <c r="D25" s="8">
        <v>3.95</v>
      </c>
      <c r="E25" s="8">
        <v>4.95</v>
      </c>
      <c r="F25" s="3"/>
      <c r="G25" s="3"/>
      <c r="H25" s="3"/>
      <c r="J25" s="13" t="s">
        <v>9</v>
      </c>
      <c r="K25" s="13">
        <f>VLOOKUP(K22,B21:E27,3,FALSE)</f>
        <v>3.75</v>
      </c>
    </row>
    <row r="26" spans="1:12" ht="18.75" hidden="1" customHeight="1" x14ac:dyDescent="0.25">
      <c r="A26" s="3"/>
      <c r="B26" s="16" t="s">
        <v>10</v>
      </c>
      <c r="C26" s="8">
        <v>2.75</v>
      </c>
      <c r="D26" s="8">
        <v>3.75</v>
      </c>
      <c r="E26" s="8">
        <v>4.25</v>
      </c>
      <c r="F26" s="3"/>
      <c r="G26" s="3"/>
      <c r="H26" s="3"/>
    </row>
    <row r="27" spans="1:12" ht="18.75" hidden="1" customHeight="1" x14ac:dyDescent="0.25">
      <c r="A27" s="3"/>
      <c r="B27" s="16" t="s">
        <v>11</v>
      </c>
      <c r="C27" s="8">
        <v>0.99</v>
      </c>
      <c r="D27" s="8">
        <v>1.99</v>
      </c>
      <c r="E27" s="8">
        <v>2.99</v>
      </c>
      <c r="F27" s="3"/>
      <c r="G27" s="3"/>
      <c r="H27" s="3"/>
    </row>
    <row r="28" spans="1:12" ht="6" hidden="1" customHeight="1" x14ac:dyDescent="0.25">
      <c r="A28" s="3"/>
      <c r="B28" s="3"/>
      <c r="C28" s="3"/>
      <c r="D28" s="3"/>
      <c r="E28" s="3"/>
      <c r="F28" s="3"/>
      <c r="G28" s="3"/>
      <c r="H28" s="3"/>
    </row>
    <row r="29" spans="1:12" hidden="1" x14ac:dyDescent="0.25"/>
    <row r="30" spans="1:12" ht="54.75" hidden="1" x14ac:dyDescent="0.25">
      <c r="B30" s="6" t="str">
        <f>L22</f>
        <v>How much for a medium latte?</v>
      </c>
    </row>
    <row r="32" spans="1:12" hidden="1" outlineLevel="1" x14ac:dyDescent="0.25"/>
    <row r="33" spans="1:13" hidden="1" outlineLevel="1" x14ac:dyDescent="0.25"/>
    <row r="34" spans="1:13" hidden="1" outlineLevel="1" x14ac:dyDescent="0.25"/>
    <row r="35" spans="1:13" hidden="1" outlineLevel="1" x14ac:dyDescent="0.25">
      <c r="A35" s="3"/>
      <c r="B35" s="3"/>
      <c r="C35" s="3"/>
      <c r="D35" s="3"/>
      <c r="E35" s="3"/>
      <c r="F35" s="3"/>
      <c r="G35" s="3"/>
      <c r="H35" s="3"/>
    </row>
    <row r="36" spans="1:13" ht="54.75" hidden="1" outlineLevel="1" x14ac:dyDescent="0.25">
      <c r="A36" s="3"/>
      <c r="B36" s="4"/>
      <c r="C36" s="5"/>
      <c r="D36" s="5"/>
      <c r="E36" s="5"/>
      <c r="F36" s="5"/>
      <c r="G36" s="5"/>
      <c r="H36" s="3"/>
      <c r="J36" s="6" t="str">
        <f>L38</f>
        <v>How much for a large latte?</v>
      </c>
    </row>
    <row r="37" spans="1:13" ht="24.75" hidden="1" outlineLevel="1" x14ac:dyDescent="0.7">
      <c r="A37" s="3"/>
      <c r="B37" s="3"/>
      <c r="C37" s="15" t="s">
        <v>0</v>
      </c>
      <c r="D37" s="15" t="s">
        <v>1</v>
      </c>
      <c r="E37" s="15" t="s">
        <v>2</v>
      </c>
      <c r="F37" s="8"/>
      <c r="G37" s="3"/>
      <c r="H37" s="3"/>
    </row>
    <row r="38" spans="1:13" ht="24.75" hidden="1" outlineLevel="1" x14ac:dyDescent="0.25">
      <c r="A38" s="3"/>
      <c r="B38" s="16" t="s">
        <v>3</v>
      </c>
      <c r="C38" s="8">
        <v>1.99</v>
      </c>
      <c r="D38" s="8">
        <v>2.99</v>
      </c>
      <c r="E38" s="8">
        <v>3.99</v>
      </c>
      <c r="F38" s="3"/>
      <c r="G38" s="3"/>
      <c r="H38" s="3"/>
      <c r="J38" s="11" t="s">
        <v>4</v>
      </c>
      <c r="K38" s="12" t="s">
        <v>7</v>
      </c>
      <c r="L38" s="2" t="str">
        <f>"How much for a " &amp;K39&amp; " " &amp;K38&amp;"?"</f>
        <v>How much for a large latte?</v>
      </c>
    </row>
    <row r="39" spans="1:13" ht="24.75" hidden="1" outlineLevel="1" x14ac:dyDescent="0.25">
      <c r="A39" s="3"/>
      <c r="B39" s="16" t="s">
        <v>5</v>
      </c>
      <c r="C39" s="8">
        <v>1.99</v>
      </c>
      <c r="D39" s="8">
        <v>2.99</v>
      </c>
      <c r="E39" s="8">
        <v>3.99</v>
      </c>
      <c r="F39" s="3"/>
      <c r="G39" s="3"/>
      <c r="H39" s="3"/>
      <c r="J39" s="13" t="s">
        <v>6</v>
      </c>
      <c r="K39" s="12" t="s">
        <v>2</v>
      </c>
    </row>
    <row r="40" spans="1:13" ht="24.75" hidden="1" outlineLevel="1" x14ac:dyDescent="0.25">
      <c r="A40" s="3"/>
      <c r="B40" s="16" t="s">
        <v>7</v>
      </c>
      <c r="C40" s="8">
        <v>2.75</v>
      </c>
      <c r="D40" s="8">
        <v>3.75</v>
      </c>
      <c r="E40" s="8">
        <v>4.25</v>
      </c>
      <c r="F40" s="3"/>
      <c r="G40" s="3"/>
      <c r="H40" s="3"/>
    </row>
    <row r="41" spans="1:13" ht="24.75" hidden="1" outlineLevel="1" x14ac:dyDescent="0.25">
      <c r="A41" s="3"/>
      <c r="B41" s="16" t="s">
        <v>8</v>
      </c>
      <c r="C41" s="8">
        <v>2.95</v>
      </c>
      <c r="D41" s="8">
        <v>3.95</v>
      </c>
      <c r="E41" s="8">
        <v>4.95</v>
      </c>
      <c r="F41" s="3"/>
      <c r="G41" s="3"/>
      <c r="H41" s="3"/>
      <c r="J41" s="13" t="s">
        <v>9</v>
      </c>
      <c r="K41" s="13">
        <f>VLOOKUP(K38,B38:E43,4,FALSE)</f>
        <v>4.25</v>
      </c>
    </row>
    <row r="42" spans="1:13" ht="24.75" hidden="1" outlineLevel="1" x14ac:dyDescent="0.25">
      <c r="A42" s="3"/>
      <c r="B42" s="16" t="s">
        <v>10</v>
      </c>
      <c r="C42" s="8">
        <v>2.75</v>
      </c>
      <c r="D42" s="8">
        <v>3.75</v>
      </c>
      <c r="E42" s="8">
        <v>4.25</v>
      </c>
      <c r="F42" s="3"/>
      <c r="G42" s="3"/>
      <c r="H42" s="3"/>
    </row>
    <row r="43" spans="1:13" ht="24.75" hidden="1" outlineLevel="1" x14ac:dyDescent="0.25">
      <c r="A43" s="3"/>
      <c r="B43" s="16" t="s">
        <v>11</v>
      </c>
      <c r="C43" s="8">
        <v>0.99</v>
      </c>
      <c r="D43" s="8">
        <v>1.99</v>
      </c>
      <c r="E43" s="8">
        <v>2.99</v>
      </c>
      <c r="F43" s="3"/>
      <c r="G43" s="3"/>
      <c r="H43" s="3"/>
      <c r="J43" s="2" t="s">
        <v>20</v>
      </c>
    </row>
    <row r="44" spans="1:13" hidden="1" outlineLevel="1" x14ac:dyDescent="0.25">
      <c r="A44" s="3"/>
      <c r="B44" s="3"/>
      <c r="C44" s="3"/>
      <c r="D44" s="3"/>
      <c r="E44" s="3"/>
      <c r="F44" s="3"/>
      <c r="G44" s="3"/>
      <c r="H44" s="3"/>
    </row>
    <row r="45" spans="1:13" hidden="1" outlineLevel="1" x14ac:dyDescent="0.25">
      <c r="J45" s="2" t="s">
        <v>21</v>
      </c>
    </row>
    <row r="46" spans="1:13" hidden="1" outlineLevel="1" x14ac:dyDescent="0.25"/>
    <row r="47" spans="1:13" hidden="1" outlineLevel="1" x14ac:dyDescent="0.25">
      <c r="J47" s="14" t="s">
        <v>22</v>
      </c>
    </row>
    <row r="48" spans="1:13" hidden="1" outlineLevel="1" x14ac:dyDescent="0.25">
      <c r="B48" s="172"/>
      <c r="C48" s="172"/>
      <c r="D48" s="172"/>
      <c r="E48" s="172"/>
      <c r="F48" s="172"/>
      <c r="I48" s="172"/>
      <c r="J48" s="172"/>
      <c r="K48" s="172"/>
      <c r="L48" s="172"/>
      <c r="M48" s="172"/>
    </row>
    <row r="49" hidden="1" outlineLevel="1" x14ac:dyDescent="0.25"/>
    <row r="50" hidden="1" outlineLevel="1" x14ac:dyDescent="0.25"/>
    <row r="51" collapsed="1" x14ac:dyDescent="0.25"/>
  </sheetData>
  <mergeCells count="4">
    <mergeCell ref="B15:F15"/>
    <mergeCell ref="I15:M15"/>
    <mergeCell ref="B48:F48"/>
    <mergeCell ref="I48:M48"/>
  </mergeCells>
  <dataValidations count="2">
    <dataValidation type="list" allowBlank="1" showInputMessage="1" showErrorMessage="1" sqref="K6 K23 K39" xr:uid="{CDC278C0-0CCE-4E1C-BAD4-27E4FF1CA6F7}">
      <formula1>$C$4:$E$4</formula1>
    </dataValidation>
    <dataValidation type="list" allowBlank="1" showInputMessage="1" showErrorMessage="1" sqref="K5 K22 K38" xr:uid="{F9E30695-A795-4B42-817B-A0F02753733A}">
      <formula1>$B$5:$B$10</formula1>
    </dataValidation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6247-FDC4-4FE9-BBA7-EC91F40A6B89}">
  <dimension ref="B1:T43"/>
  <sheetViews>
    <sheetView workbookViewId="0">
      <selection activeCell="V10" sqref="V10"/>
    </sheetView>
  </sheetViews>
  <sheetFormatPr defaultColWidth="9" defaultRowHeight="15.75" outlineLevelRow="1" x14ac:dyDescent="0.25"/>
  <cols>
    <col min="1" max="1" width="9" style="2"/>
    <col min="2" max="2" width="0.7109375" style="2" customWidth="1"/>
    <col min="3" max="3" width="14.28515625" style="2" bestFit="1" customWidth="1"/>
    <col min="4" max="4" width="5.5703125" style="2" bestFit="1" customWidth="1"/>
    <col min="5" max="7" width="9" style="2"/>
    <col min="8" max="8" width="1" style="2" customWidth="1"/>
    <col min="9" max="9" width="0.85546875" style="2" customWidth="1"/>
    <col min="10" max="10" width="1.85546875" style="2" customWidth="1"/>
    <col min="11" max="11" width="9" style="2"/>
    <col min="12" max="12" width="14.140625" style="2" customWidth="1"/>
    <col min="13" max="13" width="0" style="2" hidden="1" customWidth="1"/>
    <col min="14" max="17" width="9" style="2"/>
    <col min="18" max="18" width="12.85546875" style="2" customWidth="1"/>
    <col min="19" max="19" width="16.5703125" style="2" customWidth="1"/>
    <col min="20" max="20" width="10.7109375" style="2" customWidth="1"/>
    <col min="21" max="16384" width="9" style="2"/>
  </cols>
  <sheetData>
    <row r="1" spans="2:20" x14ac:dyDescent="0.25">
      <c r="B1" s="1"/>
    </row>
    <row r="2" spans="2:20" ht="19.5" customHeight="1" x14ac:dyDescent="0.25">
      <c r="B2" s="3"/>
      <c r="C2" s="3"/>
      <c r="D2" s="3"/>
      <c r="E2" s="3"/>
      <c r="F2" s="3"/>
      <c r="G2" s="3"/>
      <c r="H2" s="3"/>
      <c r="I2" s="3"/>
    </row>
    <row r="3" spans="2:20" ht="43.5" customHeight="1" x14ac:dyDescent="0.25">
      <c r="B3" s="3"/>
      <c r="C3" s="4"/>
      <c r="D3" s="5"/>
      <c r="E3" s="5"/>
      <c r="F3" s="5"/>
      <c r="G3" s="5"/>
      <c r="H3" s="5"/>
      <c r="I3" s="3"/>
      <c r="K3" s="6" t="str">
        <f>M5</f>
        <v>How much for a medium decaf?</v>
      </c>
      <c r="R3" s="6" t="s">
        <v>16</v>
      </c>
    </row>
    <row r="4" spans="2:20" ht="41.25" customHeight="1" x14ac:dyDescent="0.85">
      <c r="B4" s="3"/>
      <c r="C4" s="3"/>
      <c r="D4" s="7" t="s">
        <v>0</v>
      </c>
      <c r="E4" s="7" t="s">
        <v>1</v>
      </c>
      <c r="F4" s="7" t="s">
        <v>2</v>
      </c>
      <c r="G4" s="8"/>
      <c r="H4" s="3"/>
      <c r="I4" s="3"/>
      <c r="R4" s="2" t="s">
        <v>17</v>
      </c>
      <c r="T4" s="2">
        <f>MAX($F$5:$F$10)</f>
        <v>4.95</v>
      </c>
    </row>
    <row r="5" spans="2:20" ht="18.75" customHeight="1" x14ac:dyDescent="0.25">
      <c r="B5" s="3"/>
      <c r="C5" s="9" t="s">
        <v>3</v>
      </c>
      <c r="D5" s="10">
        <v>1.99</v>
      </c>
      <c r="E5" s="10">
        <v>2.99</v>
      </c>
      <c r="F5" s="10">
        <v>3.99</v>
      </c>
      <c r="G5" s="3"/>
      <c r="H5" s="3"/>
      <c r="I5" s="3"/>
      <c r="K5" s="11" t="s">
        <v>4</v>
      </c>
      <c r="L5" s="12" t="s">
        <v>5</v>
      </c>
      <c r="M5" s="2" t="str">
        <f>"How much for a " &amp;L6&amp; " " &amp;L5&amp;"?"</f>
        <v>How much for a medium decaf?</v>
      </c>
      <c r="R5" s="2" t="s">
        <v>18</v>
      </c>
      <c r="T5" s="2">
        <f>MATCH($T$4,$F$4:$F$10,0)</f>
        <v>5</v>
      </c>
    </row>
    <row r="6" spans="2:20" ht="18.75" customHeight="1" x14ac:dyDescent="0.25">
      <c r="B6" s="3"/>
      <c r="C6" s="9" t="s">
        <v>5</v>
      </c>
      <c r="D6" s="10">
        <v>1.99</v>
      </c>
      <c r="E6" s="10">
        <v>2.99</v>
      </c>
      <c r="F6" s="10">
        <v>3.99</v>
      </c>
      <c r="G6" s="3"/>
      <c r="H6" s="3"/>
      <c r="I6" s="3"/>
      <c r="K6" s="13" t="s">
        <v>6</v>
      </c>
      <c r="L6" s="12" t="s">
        <v>1</v>
      </c>
      <c r="R6" s="2" t="s">
        <v>19</v>
      </c>
      <c r="T6" s="2" t="str" cm="1">
        <f t="array" ref="T6">INDEX($C$4:$C$10,$T$5)</f>
        <v>macchiato</v>
      </c>
    </row>
    <row r="7" spans="2:20" ht="18.75" customHeight="1" x14ac:dyDescent="0.25">
      <c r="B7" s="3"/>
      <c r="C7" s="9" t="s">
        <v>7</v>
      </c>
      <c r="D7" s="10">
        <v>2.75</v>
      </c>
      <c r="E7" s="10">
        <v>3.75</v>
      </c>
      <c r="F7" s="10">
        <v>4.25</v>
      </c>
      <c r="G7" s="3"/>
      <c r="H7" s="3"/>
      <c r="I7" s="3"/>
    </row>
    <row r="8" spans="2:20" ht="18.75" customHeight="1" x14ac:dyDescent="0.25">
      <c r="B8" s="3"/>
      <c r="C8" s="9" t="s">
        <v>8</v>
      </c>
      <c r="D8" s="10">
        <v>2.95</v>
      </c>
      <c r="E8" s="10">
        <v>3.95</v>
      </c>
      <c r="F8" s="10">
        <v>4.95</v>
      </c>
      <c r="G8" s="3"/>
      <c r="H8" s="3"/>
      <c r="I8" s="3"/>
      <c r="K8" s="13" t="s">
        <v>9</v>
      </c>
      <c r="L8" s="13">
        <f>INDEX($C$4:$F$10,MATCH($L$6,$C$4:$F$4,0),MATCH($L$5,$C$4:$C$10,0))</f>
        <v>2.99</v>
      </c>
    </row>
    <row r="9" spans="2:20" ht="26.25" customHeight="1" x14ac:dyDescent="0.85">
      <c r="B9" s="3"/>
      <c r="C9" s="9" t="s">
        <v>10</v>
      </c>
      <c r="D9" s="10">
        <v>2.75</v>
      </c>
      <c r="E9" s="10">
        <v>3.75</v>
      </c>
      <c r="F9" s="10">
        <v>4.25</v>
      </c>
      <c r="G9" s="3"/>
      <c r="H9" s="3"/>
      <c r="I9" s="3"/>
      <c r="K9" s="13" t="s">
        <v>9</v>
      </c>
      <c r="L9" s="13">
        <f>INDEX($C$4:$F$10,MATCH($L$6,$C$4:$F$4,0),MATCH(L$5,$C$4:$C$10,0))</f>
        <v>2.99</v>
      </c>
      <c r="R9" s="13" t="s">
        <v>9</v>
      </c>
      <c r="S9" s="83" t="str">
        <f>INDEX($C$4:$C$10,MATCH(MAX($F$4:$F$10),$F$4:$F$10,0))</f>
        <v>macchiato</v>
      </c>
      <c r="T9" s="1" t="str">
        <f>INDEX($C$4:$C$10,MATCH(MAX($F$4:$F$10),$F$4:$F$10,0))</f>
        <v>macchiato</v>
      </c>
    </row>
    <row r="10" spans="2:20" ht="28.5" customHeight="1" x14ac:dyDescent="0.85">
      <c r="B10" s="3"/>
      <c r="C10" s="9" t="s">
        <v>11</v>
      </c>
      <c r="D10" s="10">
        <v>0.99</v>
      </c>
      <c r="E10" s="10">
        <v>1.99</v>
      </c>
      <c r="F10" s="10">
        <v>2.99</v>
      </c>
      <c r="G10" s="3"/>
      <c r="H10" s="3"/>
      <c r="I10" s="3"/>
      <c r="S10" s="84" t="str">
        <f>INDEX($C$4:$C$10,MATCH(MAX($F$4:$F$10),$F$4:$F$10,0))</f>
        <v>macchiato</v>
      </c>
      <c r="T10" s="1" t="str">
        <f>INDEX($C$4:$C$10,MATCH(MAX($F$4:$F$10),$F$4:$F$10,0))</f>
        <v>macchiato</v>
      </c>
    </row>
    <row r="11" spans="2:20" ht="12.75" customHeight="1" x14ac:dyDescent="0.25">
      <c r="B11" s="3"/>
      <c r="C11" s="3"/>
      <c r="D11" s="3"/>
      <c r="E11" s="3"/>
      <c r="F11" s="3"/>
      <c r="G11" s="3"/>
      <c r="H11" s="3"/>
      <c r="I11" s="3"/>
    </row>
    <row r="12" spans="2:20" x14ac:dyDescent="0.25">
      <c r="K12" s="2" t="s">
        <v>12</v>
      </c>
    </row>
    <row r="14" spans="2:20" x14ac:dyDescent="0.25">
      <c r="K14" s="2" t="s">
        <v>13</v>
      </c>
    </row>
    <row r="15" spans="2:20" x14ac:dyDescent="0.25">
      <c r="C15" s="172"/>
      <c r="D15" s="172"/>
      <c r="E15" s="172"/>
      <c r="F15" s="172"/>
      <c r="G15" s="172"/>
      <c r="J15" s="172"/>
      <c r="K15" s="172"/>
      <c r="L15" s="172"/>
      <c r="M15" s="172"/>
      <c r="N15" s="172"/>
    </row>
    <row r="16" spans="2:20" x14ac:dyDescent="0.25">
      <c r="K16" s="14" t="s">
        <v>14</v>
      </c>
    </row>
    <row r="23" spans="2:13" hidden="1" outlineLevel="1" x14ac:dyDescent="0.25"/>
    <row r="24" spans="2:13" hidden="1" outlineLevel="1" x14ac:dyDescent="0.25"/>
    <row r="25" spans="2:13" hidden="1" outlineLevel="1" x14ac:dyDescent="0.25">
      <c r="B25" s="3"/>
      <c r="C25" s="3"/>
      <c r="D25" s="3"/>
      <c r="E25" s="3"/>
      <c r="F25" s="3"/>
      <c r="G25" s="3"/>
      <c r="H25" s="3"/>
      <c r="I25" s="3"/>
    </row>
    <row r="26" spans="2:13" ht="54.75" hidden="1" outlineLevel="1" x14ac:dyDescent="0.25">
      <c r="B26" s="3"/>
      <c r="C26" s="4"/>
      <c r="D26" s="5"/>
      <c r="E26" s="5"/>
      <c r="F26" s="5"/>
      <c r="G26" s="5"/>
      <c r="H26" s="5"/>
      <c r="I26" s="3"/>
      <c r="K26" s="6" t="str">
        <f>M28</f>
        <v>How much for a medium decaf?</v>
      </c>
    </row>
    <row r="27" spans="2:13" ht="24.75" hidden="1" outlineLevel="1" x14ac:dyDescent="0.7">
      <c r="B27" s="3"/>
      <c r="C27" s="3"/>
      <c r="D27" s="15" t="s">
        <v>0</v>
      </c>
      <c r="E27" s="15" t="s">
        <v>1</v>
      </c>
      <c r="F27" s="15" t="s">
        <v>2</v>
      </c>
      <c r="G27" s="8"/>
      <c r="H27" s="3"/>
      <c r="I27" s="3"/>
    </row>
    <row r="28" spans="2:13" ht="24.75" hidden="1" outlineLevel="1" x14ac:dyDescent="0.25">
      <c r="B28" s="3"/>
      <c r="C28" s="16" t="s">
        <v>3</v>
      </c>
      <c r="D28" s="8">
        <v>1.99</v>
      </c>
      <c r="E28" s="8">
        <v>2.99</v>
      </c>
      <c r="F28" s="8">
        <v>3.99</v>
      </c>
      <c r="G28" s="3"/>
      <c r="H28" s="3"/>
      <c r="I28" s="3"/>
      <c r="K28" s="11" t="s">
        <v>4</v>
      </c>
      <c r="L28" s="12" t="s">
        <v>5</v>
      </c>
      <c r="M28" s="2" t="str">
        <f>"How much for a " &amp;L29&amp; " " &amp;L28&amp;"?"</f>
        <v>How much for a medium decaf?</v>
      </c>
    </row>
    <row r="29" spans="2:13" ht="24.75" hidden="1" outlineLevel="1" x14ac:dyDescent="0.25">
      <c r="B29" s="3"/>
      <c r="C29" s="16" t="s">
        <v>5</v>
      </c>
      <c r="D29" s="8">
        <v>1.99</v>
      </c>
      <c r="E29" s="8">
        <v>2.99</v>
      </c>
      <c r="F29" s="8">
        <v>3.99</v>
      </c>
      <c r="G29" s="3"/>
      <c r="H29" s="3"/>
      <c r="I29" s="3"/>
      <c r="K29" s="13" t="s">
        <v>6</v>
      </c>
      <c r="L29" s="12" t="s">
        <v>1</v>
      </c>
    </row>
    <row r="30" spans="2:13" ht="24.75" hidden="1" outlineLevel="1" x14ac:dyDescent="0.25">
      <c r="B30" s="3"/>
      <c r="C30" s="16" t="s">
        <v>7</v>
      </c>
      <c r="D30" s="8">
        <v>2.75</v>
      </c>
      <c r="E30" s="8">
        <v>3.75</v>
      </c>
      <c r="F30" s="8">
        <v>4.25</v>
      </c>
      <c r="G30" s="3"/>
      <c r="H30" s="3"/>
      <c r="I30" s="3"/>
    </row>
    <row r="31" spans="2:13" ht="24.75" hidden="1" outlineLevel="1" x14ac:dyDescent="0.25">
      <c r="B31" s="3"/>
      <c r="C31" s="16" t="s">
        <v>8</v>
      </c>
      <c r="D31" s="8">
        <v>2.95</v>
      </c>
      <c r="E31" s="8">
        <v>3.95</v>
      </c>
      <c r="F31" s="8">
        <v>4.95</v>
      </c>
      <c r="G31" s="3"/>
      <c r="H31" s="3"/>
      <c r="I31" s="3"/>
      <c r="K31" s="13" t="s">
        <v>9</v>
      </c>
      <c r="L31" s="13">
        <f>INDEX(E28:E33,  MATCH(C29,C28:C33,0))</f>
        <v>2.99</v>
      </c>
    </row>
    <row r="32" spans="2:13" ht="24.75" hidden="1" outlineLevel="1" x14ac:dyDescent="0.25">
      <c r="B32" s="3"/>
      <c r="C32" s="16" t="s">
        <v>10</v>
      </c>
      <c r="D32" s="8">
        <v>2.75</v>
      </c>
      <c r="E32" s="8">
        <v>3.75</v>
      </c>
      <c r="F32" s="8">
        <v>4.25</v>
      </c>
      <c r="G32" s="3"/>
      <c r="H32" s="3"/>
      <c r="I32" s="3"/>
    </row>
    <row r="33" spans="2:14" ht="24.75" hidden="1" outlineLevel="1" x14ac:dyDescent="0.25">
      <c r="B33" s="3"/>
      <c r="C33" s="16" t="s">
        <v>11</v>
      </c>
      <c r="D33" s="8">
        <v>0.99</v>
      </c>
      <c r="E33" s="8">
        <v>1.99</v>
      </c>
      <c r="F33" s="8">
        <v>2.99</v>
      </c>
      <c r="G33" s="3"/>
      <c r="H33" s="3"/>
      <c r="I33" s="3"/>
      <c r="K33" s="2" t="s">
        <v>12</v>
      </c>
    </row>
    <row r="34" spans="2:14" hidden="1" outlineLevel="1" x14ac:dyDescent="0.25">
      <c r="B34" s="3"/>
      <c r="C34" s="3"/>
      <c r="D34" s="3"/>
      <c r="E34" s="3"/>
      <c r="F34" s="3"/>
      <c r="G34" s="3"/>
      <c r="H34" s="3"/>
      <c r="I34" s="3"/>
    </row>
    <row r="35" spans="2:14" hidden="1" outlineLevel="1" x14ac:dyDescent="0.25">
      <c r="K35" s="2" t="s">
        <v>13</v>
      </c>
    </row>
    <row r="36" spans="2:14" hidden="1" outlineLevel="1" x14ac:dyDescent="0.25"/>
    <row r="37" spans="2:14" hidden="1" outlineLevel="1" x14ac:dyDescent="0.25">
      <c r="K37" s="14" t="s">
        <v>15</v>
      </c>
    </row>
    <row r="38" spans="2:14" hidden="1" outlineLevel="1" x14ac:dyDescent="0.25">
      <c r="C38" s="172"/>
      <c r="D38" s="172"/>
      <c r="E38" s="172"/>
      <c r="F38" s="172"/>
      <c r="G38" s="172"/>
      <c r="J38" s="172"/>
      <c r="K38" s="172"/>
      <c r="L38" s="172"/>
      <c r="M38" s="172"/>
      <c r="N38" s="172"/>
    </row>
    <row r="39" spans="2:14" hidden="1" outlineLevel="1" x14ac:dyDescent="0.25">
      <c r="K39" s="14" t="s">
        <v>14</v>
      </c>
    </row>
    <row r="40" spans="2:14" hidden="1" outlineLevel="1" x14ac:dyDescent="0.25"/>
    <row r="41" spans="2:14" hidden="1" outlineLevel="1" x14ac:dyDescent="0.25"/>
    <row r="42" spans="2:14" hidden="1" outlineLevel="1" x14ac:dyDescent="0.25"/>
    <row r="43" spans="2:14" collapsed="1" x14ac:dyDescent="0.25"/>
  </sheetData>
  <mergeCells count="4">
    <mergeCell ref="C15:G15"/>
    <mergeCell ref="J15:N15"/>
    <mergeCell ref="C38:G38"/>
    <mergeCell ref="J38:N38"/>
  </mergeCells>
  <dataValidations count="2">
    <dataValidation type="list" allowBlank="1" showInputMessage="1" showErrorMessage="1" sqref="L5 L28" xr:uid="{6D8B8DA1-15F2-459D-AD35-6201E1C61D65}">
      <formula1>$C$5:$C$10</formula1>
    </dataValidation>
    <dataValidation type="list" allowBlank="1" showInputMessage="1" showErrorMessage="1" sqref="L6 L29" xr:uid="{99E98829-8AF5-40B0-B7CA-B1DCDA712322}">
      <formula1>$D$4:$F$4</formula1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86A1-524D-4580-ADC1-D3ABF3FAD959}">
  <dimension ref="A1:N29"/>
  <sheetViews>
    <sheetView workbookViewId="0">
      <selection activeCell="M9" sqref="M9"/>
    </sheetView>
  </sheetViews>
  <sheetFormatPr defaultRowHeight="15" outlineLevelRow="1" x14ac:dyDescent="0.25"/>
  <cols>
    <col min="2" max="2" width="20.7109375" bestFit="1" customWidth="1"/>
    <col min="3" max="3" width="8.42578125" bestFit="1" customWidth="1"/>
    <col min="4" max="4" width="12" bestFit="1" customWidth="1"/>
    <col min="5" max="5" width="8.140625" bestFit="1" customWidth="1"/>
    <col min="10" max="10" width="35.7109375" customWidth="1"/>
    <col min="11" max="11" width="41" customWidth="1"/>
    <col min="12" max="12" width="12.85546875" bestFit="1" customWidth="1"/>
    <col min="13" max="13" width="12.7109375" customWidth="1"/>
  </cols>
  <sheetData>
    <row r="1" spans="1:14" ht="15.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x14ac:dyDescent="0.25">
      <c r="A2" s="3"/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</row>
    <row r="3" spans="1:14" ht="54.75" x14ac:dyDescent="0.25">
      <c r="A3" s="3"/>
      <c r="B3" s="4"/>
      <c r="C3" s="5"/>
      <c r="D3" s="5"/>
      <c r="E3" s="5"/>
      <c r="F3" s="5"/>
      <c r="G3" s="5"/>
      <c r="H3" s="3"/>
      <c r="I3" s="2"/>
      <c r="J3" s="6" t="s">
        <v>16</v>
      </c>
      <c r="K3" s="2"/>
      <c r="L3" s="2"/>
      <c r="M3" s="2"/>
      <c r="N3" s="2"/>
    </row>
    <row r="4" spans="1:14" ht="42" x14ac:dyDescent="1.2">
      <c r="A4" s="3"/>
      <c r="B4" s="31"/>
      <c r="C4" s="32" t="s">
        <v>0</v>
      </c>
      <c r="D4" s="32" t="s">
        <v>1</v>
      </c>
      <c r="E4" s="32" t="s">
        <v>2</v>
      </c>
      <c r="F4" s="33"/>
      <c r="G4" s="3"/>
      <c r="H4" s="3"/>
      <c r="I4" s="2"/>
      <c r="J4" s="2"/>
      <c r="K4" s="2"/>
      <c r="L4" s="2"/>
      <c r="M4" s="2"/>
      <c r="N4" s="2"/>
    </row>
    <row r="5" spans="1:14" ht="42" x14ac:dyDescent="0.35">
      <c r="A5" s="3"/>
      <c r="B5" s="34" t="s">
        <v>3</v>
      </c>
      <c r="C5" s="35">
        <v>1.99</v>
      </c>
      <c r="D5" s="35">
        <v>2.99</v>
      </c>
      <c r="E5" s="35">
        <v>3.99</v>
      </c>
      <c r="F5" s="36"/>
      <c r="G5" s="3"/>
      <c r="H5" s="3"/>
      <c r="I5" s="2"/>
      <c r="J5" s="37" t="s">
        <v>23</v>
      </c>
      <c r="K5" s="85">
        <f>MAX($E$4:$E$10)</f>
        <v>4.95</v>
      </c>
      <c r="L5" s="85">
        <f>MAX(K5)</f>
        <v>4.95</v>
      </c>
      <c r="M5" s="2"/>
      <c r="N5" s="2"/>
    </row>
    <row r="6" spans="1:14" ht="42" x14ac:dyDescent="0.35">
      <c r="A6" s="3"/>
      <c r="B6" s="34" t="s">
        <v>5</v>
      </c>
      <c r="C6" s="35">
        <v>1.99</v>
      </c>
      <c r="D6" s="35">
        <v>2.99</v>
      </c>
      <c r="E6" s="35">
        <v>3.99</v>
      </c>
      <c r="F6" s="36"/>
      <c r="G6" s="3"/>
      <c r="H6" s="3"/>
      <c r="I6" s="2"/>
      <c r="J6" s="39" t="s">
        <v>24</v>
      </c>
      <c r="K6" s="86" t="str">
        <f>_xlfn.XLOOKUP($K$5,$E$4:$E$10,$B$4:$B$10,"Not Found")</f>
        <v>macchiato</v>
      </c>
      <c r="L6" s="87" t="str">
        <f>_xlfn.XLOOKUP($L$5,$E$4:$E$10,$B$4:$B$10,"Not Found")</f>
        <v>macchiato</v>
      </c>
      <c r="M6" s="170" t="str">
        <f>_xlfn.XLOOKUP($L$5,$E$4:$E$10,$B$4:$B$10,"not Found",0)</f>
        <v>macchiato</v>
      </c>
      <c r="N6" s="2"/>
    </row>
    <row r="7" spans="1:14" ht="42" x14ac:dyDescent="0.35">
      <c r="A7" s="3"/>
      <c r="B7" s="34" t="s">
        <v>7</v>
      </c>
      <c r="C7" s="35">
        <v>2.75</v>
      </c>
      <c r="D7" s="35">
        <v>3.75</v>
      </c>
      <c r="E7" s="35">
        <v>4.25</v>
      </c>
      <c r="F7" s="36"/>
      <c r="G7" s="3"/>
      <c r="H7" s="3"/>
      <c r="I7" s="2"/>
      <c r="J7" s="39" t="s">
        <v>25</v>
      </c>
      <c r="K7" s="86" t="str">
        <f>_xlfn.XLOOKUP(MAX($E$4:$E$10),$E$4:$E$10,$B$4:$B$10,"Not Found")</f>
        <v>macchiato</v>
      </c>
      <c r="L7" s="87" t="str">
        <f>_xlfn.XLOOKUP(MAX($E$4:$E$10),$E$4:$E$10,$B$4:$B$10,"Not Found")</f>
        <v>macchiato</v>
      </c>
      <c r="M7" s="170" t="str">
        <f>_xlfn.XLOOKUP(MAX($E$4:$E$10),$E$4:$E$10,$B$4:$B$10,"Not Found",0)</f>
        <v>macchiato</v>
      </c>
      <c r="N7" s="2"/>
    </row>
    <row r="8" spans="1:14" ht="42" x14ac:dyDescent="0.35">
      <c r="A8" s="3"/>
      <c r="B8" s="34" t="s">
        <v>8</v>
      </c>
      <c r="C8" s="35">
        <v>2.95</v>
      </c>
      <c r="D8" s="35">
        <v>3.95</v>
      </c>
      <c r="E8" s="35">
        <v>4.95</v>
      </c>
      <c r="F8" s="36"/>
      <c r="G8" s="3"/>
      <c r="H8" s="3"/>
      <c r="J8" s="38" t="s">
        <v>26</v>
      </c>
      <c r="K8" s="86" t="str">
        <f>_xlfn.XLOOKUP(MIN($E$4:$E$10),$E$4:$E$10,$B$4:$B$10,"Not Found")</f>
        <v>americano</v>
      </c>
      <c r="L8" s="85" t="str">
        <f>_xlfn.XLOOKUP(MIN($E$4:$E$10),$E$4:$E$10,$B$4:$B$10,"Not Found")</f>
        <v>americano</v>
      </c>
      <c r="M8" s="171" t="str">
        <f>_xlfn.XLOOKUP($L$5,$E$4:$E$10,$B$4:$B$10,"Not Found")</f>
        <v>macchiato</v>
      </c>
      <c r="N8" s="2"/>
    </row>
    <row r="9" spans="1:14" ht="42" x14ac:dyDescent="0.35">
      <c r="A9" s="3"/>
      <c r="B9" s="34" t="s">
        <v>10</v>
      </c>
      <c r="C9" s="35">
        <v>2.75</v>
      </c>
      <c r="D9" s="35">
        <v>3.75</v>
      </c>
      <c r="E9" s="35">
        <v>4.25</v>
      </c>
      <c r="F9" s="36"/>
      <c r="G9" s="3"/>
      <c r="H9" s="3"/>
      <c r="J9" t="s">
        <v>27</v>
      </c>
      <c r="K9" s="40" t="s">
        <v>5</v>
      </c>
      <c r="N9" s="2"/>
    </row>
    <row r="10" spans="1:14" ht="42" x14ac:dyDescent="0.35">
      <c r="A10" s="3"/>
      <c r="B10" s="34" t="s">
        <v>11</v>
      </c>
      <c r="C10" s="35">
        <v>0.99</v>
      </c>
      <c r="D10" s="35">
        <v>1.99</v>
      </c>
      <c r="E10" s="35">
        <v>2.99</v>
      </c>
      <c r="F10" s="36"/>
      <c r="G10" s="3"/>
      <c r="H10" s="3"/>
      <c r="J10" s="41" t="s">
        <v>28</v>
      </c>
      <c r="K10" s="88">
        <f>VLOOKUP($K$9,$B$4:$E$10,MATCH($J10,$B$4:$E$4,0),FALSE)</f>
        <v>1.99</v>
      </c>
      <c r="N10" s="2"/>
    </row>
    <row r="11" spans="1:14" ht="23.25" x14ac:dyDescent="0.35">
      <c r="A11" s="3"/>
      <c r="B11" s="36"/>
      <c r="C11" s="36"/>
      <c r="D11" s="36"/>
      <c r="E11" s="36"/>
      <c r="F11" s="36"/>
      <c r="G11" s="3"/>
      <c r="H11" s="3"/>
      <c r="J11" s="72" t="s">
        <v>1</v>
      </c>
      <c r="K11">
        <f>INDEX($B$4:$E$10,MATCH($K$9,$B$4:$B$10,0),MATCH($J11,$B$4:$E$4,0))</f>
        <v>2.99</v>
      </c>
      <c r="N11" s="2"/>
    </row>
    <row r="12" spans="1:14" ht="15.75" x14ac:dyDescent="0.25">
      <c r="A12" s="2"/>
      <c r="B12" s="2"/>
      <c r="C12" s="2"/>
      <c r="D12" s="2"/>
      <c r="E12" s="2"/>
      <c r="F12" s="2"/>
      <c r="G12" s="2"/>
      <c r="H12" s="2"/>
      <c r="J12" t="s">
        <v>2</v>
      </c>
      <c r="K12" cm="1">
        <f t="array" ref="K12:M12">_xlfn.XLOOKUP($K$9,$B$4:$B$10,$C$4:$E$10,MATCH($J12,$B$4:$E$4,0),0)</f>
        <v>1.99</v>
      </c>
      <c r="L12">
        <v>2.99</v>
      </c>
      <c r="M12">
        <v>3.99</v>
      </c>
      <c r="N12" s="2"/>
    </row>
    <row r="13" spans="1:14" ht="15.75" x14ac:dyDescent="0.25">
      <c r="A13" s="2"/>
      <c r="B13" s="2"/>
      <c r="C13" s="2"/>
      <c r="D13" s="2"/>
      <c r="E13" s="2"/>
      <c r="F13" s="2"/>
      <c r="G13" s="2"/>
      <c r="H13" s="2"/>
      <c r="K13" cm="1">
        <f t="array" ref="K13:M13">_xlfn.XLOOKUP($K$9,$B$4:$B$10,$C$4:$E$10,"Not Found ")</f>
        <v>1.99</v>
      </c>
      <c r="L13">
        <v>2.99</v>
      </c>
      <c r="M13">
        <v>3.99</v>
      </c>
      <c r="N13" s="2"/>
    </row>
    <row r="14" spans="1:14" hidden="1" outlineLevel="1" x14ac:dyDescent="0.25"/>
    <row r="15" spans="1:14" hidden="1" outlineLevel="1" x14ac:dyDescent="0.25"/>
    <row r="16" spans="1:14" ht="15.75" hidden="1" outlineLevel="1" x14ac:dyDescent="0.25">
      <c r="A16" s="3"/>
      <c r="B16" s="3"/>
      <c r="C16" s="3"/>
      <c r="D16" s="3"/>
      <c r="E16" s="3"/>
      <c r="F16" s="3"/>
      <c r="G16" s="3"/>
      <c r="H16" s="3"/>
      <c r="I16" s="2"/>
      <c r="J16" s="2"/>
      <c r="L16" s="2"/>
      <c r="M16" s="2"/>
      <c r="N16" s="2"/>
    </row>
    <row r="17" spans="1:14" ht="54.75" hidden="1" outlineLevel="1" x14ac:dyDescent="0.25">
      <c r="A17" s="3"/>
      <c r="B17" s="4"/>
      <c r="C17" s="5"/>
      <c r="D17" s="5"/>
      <c r="E17" s="5"/>
      <c r="F17" s="5"/>
      <c r="G17" s="5"/>
      <c r="H17" s="3"/>
      <c r="I17" s="2"/>
      <c r="J17" s="6" t="s">
        <v>16</v>
      </c>
      <c r="L17" s="2"/>
      <c r="M17" s="2"/>
      <c r="N17" s="2"/>
    </row>
    <row r="18" spans="1:14" ht="38.25" hidden="1" outlineLevel="1" x14ac:dyDescent="1.1000000000000001">
      <c r="A18" s="3"/>
      <c r="B18" s="36"/>
      <c r="C18" s="89" t="s">
        <v>0</v>
      </c>
      <c r="D18" s="89" t="s">
        <v>1</v>
      </c>
      <c r="E18" s="89" t="s">
        <v>2</v>
      </c>
      <c r="F18" s="33"/>
      <c r="G18" s="3"/>
      <c r="H18" s="3"/>
      <c r="I18" s="2"/>
      <c r="J18" s="2"/>
      <c r="L18" s="2"/>
      <c r="M18" s="2"/>
      <c r="N18" s="2"/>
    </row>
    <row r="19" spans="1:14" ht="38.25" hidden="1" outlineLevel="1" x14ac:dyDescent="0.35">
      <c r="A19" s="3"/>
      <c r="B19" s="90" t="s">
        <v>3</v>
      </c>
      <c r="C19" s="33">
        <v>1.99</v>
      </c>
      <c r="D19" s="33">
        <v>2.99</v>
      </c>
      <c r="E19" s="33">
        <v>3.99</v>
      </c>
      <c r="F19" s="36"/>
      <c r="G19" s="3"/>
      <c r="H19" s="3"/>
      <c r="I19" s="2"/>
      <c r="J19" s="11" t="s">
        <v>23</v>
      </c>
      <c r="L19" s="2"/>
      <c r="M19" s="2"/>
      <c r="N19" s="2"/>
    </row>
    <row r="20" spans="1:14" ht="38.25" hidden="1" outlineLevel="1" x14ac:dyDescent="0.35">
      <c r="A20" s="3"/>
      <c r="B20" s="90" t="s">
        <v>5</v>
      </c>
      <c r="C20" s="33">
        <v>1.99</v>
      </c>
      <c r="D20" s="33">
        <v>2.99</v>
      </c>
      <c r="E20" s="33">
        <v>3.99</v>
      </c>
      <c r="F20" s="36"/>
      <c r="G20" s="3"/>
      <c r="H20" s="3"/>
      <c r="I20" s="2"/>
      <c r="J20" s="91" t="s">
        <v>24</v>
      </c>
      <c r="L20" s="2"/>
      <c r="M20" s="2"/>
      <c r="N20" s="2"/>
    </row>
    <row r="21" spans="1:14" ht="38.25" hidden="1" outlineLevel="1" x14ac:dyDescent="0.35">
      <c r="A21" s="3"/>
      <c r="B21" s="90" t="s">
        <v>7</v>
      </c>
      <c r="C21" s="33">
        <v>2.75</v>
      </c>
      <c r="D21" s="33">
        <v>3.75</v>
      </c>
      <c r="E21" s="33">
        <v>4.25</v>
      </c>
      <c r="F21" s="36"/>
      <c r="G21" s="3"/>
      <c r="H21" s="3"/>
      <c r="I21" s="2"/>
      <c r="J21" s="2"/>
      <c r="L21" s="2"/>
      <c r="M21" s="2"/>
      <c r="N21" s="2"/>
    </row>
    <row r="22" spans="1:14" ht="38.25" hidden="1" outlineLevel="1" x14ac:dyDescent="0.35">
      <c r="A22" s="3"/>
      <c r="B22" s="90" t="s">
        <v>8</v>
      </c>
      <c r="C22" s="33">
        <v>2.95</v>
      </c>
      <c r="D22" s="33">
        <v>3.95</v>
      </c>
      <c r="E22" s="33">
        <v>4.95</v>
      </c>
      <c r="F22" s="36"/>
      <c r="G22" s="3"/>
      <c r="H22" s="3"/>
      <c r="N22" s="2"/>
    </row>
    <row r="23" spans="1:14" ht="38.25" hidden="1" outlineLevel="1" x14ac:dyDescent="0.35">
      <c r="A23" s="3"/>
      <c r="B23" s="90" t="s">
        <v>10</v>
      </c>
      <c r="C23" s="33">
        <v>2.75</v>
      </c>
      <c r="D23" s="33">
        <v>3.75</v>
      </c>
      <c r="E23" s="33">
        <v>4.25</v>
      </c>
      <c r="F23" s="36"/>
      <c r="G23" s="3"/>
      <c r="H23" s="3"/>
      <c r="N23" s="2"/>
    </row>
    <row r="24" spans="1:14" ht="38.25" hidden="1" outlineLevel="1" x14ac:dyDescent="0.35">
      <c r="A24" s="3"/>
      <c r="B24" s="90" t="s">
        <v>11</v>
      </c>
      <c r="C24" s="33">
        <v>0.99</v>
      </c>
      <c r="D24" s="33">
        <v>1.99</v>
      </c>
      <c r="E24" s="33">
        <v>2.99</v>
      </c>
      <c r="F24" s="36"/>
      <c r="G24" s="3"/>
      <c r="H24" s="3"/>
      <c r="N24" s="2"/>
    </row>
    <row r="25" spans="1:14" ht="23.25" hidden="1" outlineLevel="1" x14ac:dyDescent="0.35">
      <c r="A25" s="3"/>
      <c r="B25" s="36"/>
      <c r="C25" s="36"/>
      <c r="D25" s="36"/>
      <c r="E25" s="36"/>
      <c r="F25" s="36"/>
      <c r="G25" s="3"/>
      <c r="H25" s="3"/>
      <c r="N25" s="2"/>
    </row>
    <row r="26" spans="1:14" hidden="1" outlineLevel="1" x14ac:dyDescent="0.25"/>
    <row r="27" spans="1:14" hidden="1" outlineLevel="1" x14ac:dyDescent="0.25"/>
    <row r="28" spans="1:14" hidden="1" outlineLevel="1" x14ac:dyDescent="0.25"/>
    <row r="29" spans="1:14" collapsed="1" x14ac:dyDescent="0.25"/>
  </sheetData>
  <dataValidations count="1">
    <dataValidation type="list" allowBlank="1" showInputMessage="1" showErrorMessage="1" sqref="K9" xr:uid="{1BDCF413-50A3-433C-8897-0B8FFBCF6CDD}">
      <formula1>$B$5:$B$10</formula1>
    </dataValidation>
  </dataValidation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DA60-E1F0-48B9-A307-1E2BD74EC065}">
  <dimension ref="B2:F18"/>
  <sheetViews>
    <sheetView zoomScale="127" workbookViewId="0">
      <selection activeCell="H15" sqref="H15"/>
    </sheetView>
  </sheetViews>
  <sheetFormatPr defaultRowHeight="15" x14ac:dyDescent="0.25"/>
  <cols>
    <col min="1" max="1" width="2.85546875" customWidth="1"/>
    <col min="2" max="2" width="15.5703125" customWidth="1"/>
  </cols>
  <sheetData>
    <row r="2" spans="2:6" x14ac:dyDescent="0.25">
      <c r="B2" s="42" t="s">
        <v>29</v>
      </c>
      <c r="C2" s="42" t="s">
        <v>30</v>
      </c>
      <c r="D2" s="42" t="s">
        <v>31</v>
      </c>
      <c r="E2" s="42" t="s">
        <v>32</v>
      </c>
      <c r="F2" s="42" t="s">
        <v>33</v>
      </c>
    </row>
    <row r="3" spans="2:6" x14ac:dyDescent="0.25">
      <c r="B3" t="s">
        <v>34</v>
      </c>
      <c r="C3">
        <v>777</v>
      </c>
      <c r="D3">
        <v>893</v>
      </c>
      <c r="E3">
        <v>647</v>
      </c>
      <c r="F3">
        <v>635</v>
      </c>
    </row>
    <row r="4" spans="2:6" x14ac:dyDescent="0.25">
      <c r="B4" t="s">
        <v>35</v>
      </c>
      <c r="C4">
        <v>470</v>
      </c>
      <c r="D4">
        <v>752</v>
      </c>
      <c r="E4">
        <v>425</v>
      </c>
      <c r="F4">
        <v>754</v>
      </c>
    </row>
    <row r="5" spans="2:6" x14ac:dyDescent="0.25">
      <c r="B5" t="s">
        <v>36</v>
      </c>
      <c r="C5">
        <v>677</v>
      </c>
      <c r="D5">
        <v>895</v>
      </c>
      <c r="E5">
        <v>552</v>
      </c>
      <c r="F5">
        <v>993</v>
      </c>
    </row>
    <row r="6" spans="2:6" x14ac:dyDescent="0.25">
      <c r="B6" t="s">
        <v>37</v>
      </c>
      <c r="C6">
        <v>838</v>
      </c>
      <c r="D6">
        <v>461</v>
      </c>
      <c r="E6">
        <v>646</v>
      </c>
      <c r="F6">
        <v>873</v>
      </c>
    </row>
    <row r="8" spans="2:6" x14ac:dyDescent="0.25">
      <c r="B8" s="43"/>
    </row>
    <row r="9" spans="2:6" ht="23.25" customHeight="1" x14ac:dyDescent="0.25">
      <c r="B9" s="44" t="s">
        <v>34</v>
      </c>
      <c r="C9" s="45" cm="1">
        <f t="array" ref="C9:F9">_xlfn.XLOOKUP($B$9,$B$2:$B$6,$C$2:$F$6,"Not Found")</f>
        <v>777</v>
      </c>
      <c r="D9" s="45">
        <v>893</v>
      </c>
      <c r="E9" s="45">
        <v>647</v>
      </c>
      <c r="F9" s="45">
        <v>635</v>
      </c>
    </row>
    <row r="10" spans="2:6" x14ac:dyDescent="0.25">
      <c r="B10" t="s">
        <v>36</v>
      </c>
      <c r="C10" cm="1">
        <f t="array" ref="C10:F10">_xlfn.XLOOKUP($B$10,$B$2:$B$6,$C$2:$F$6,"Not Found")</f>
        <v>677</v>
      </c>
      <c r="D10">
        <v>895</v>
      </c>
      <c r="E10">
        <v>552</v>
      </c>
      <c r="F10">
        <v>993</v>
      </c>
    </row>
    <row r="11" spans="2:6" x14ac:dyDescent="0.25">
      <c r="B11" t="s">
        <v>36</v>
      </c>
      <c r="C11" cm="1">
        <f t="array" ref="C11:F11">_xlfn.XLOOKUP($B$11,$B$2:$B$6,$C$2:$F$6,"Not Found")</f>
        <v>677</v>
      </c>
      <c r="D11">
        <v>895</v>
      </c>
      <c r="E11">
        <v>552</v>
      </c>
      <c r="F11">
        <v>993</v>
      </c>
    </row>
    <row r="12" spans="2:6" x14ac:dyDescent="0.25">
      <c r="B12" s="43"/>
      <c r="C12" cm="1">
        <f t="array" ref="C12:F12">_xlfn.XLOOKUP($B$9,$B$2:$B$6,$C$2:$F$6,"Not found")</f>
        <v>777</v>
      </c>
      <c r="D12">
        <v>893</v>
      </c>
      <c r="E12">
        <v>647</v>
      </c>
      <c r="F12">
        <v>635</v>
      </c>
    </row>
    <row r="13" spans="2:6" x14ac:dyDescent="0.25">
      <c r="B13" s="43"/>
      <c r="C13" cm="1">
        <f t="array" ref="C13:F13">_xlfn.XLOOKUP($B$11,$B$2:$B$6,$C$2:$F$6,"Not Found")</f>
        <v>677</v>
      </c>
      <c r="D13">
        <v>895</v>
      </c>
      <c r="E13">
        <v>552</v>
      </c>
      <c r="F13">
        <v>993</v>
      </c>
    </row>
    <row r="15" spans="2:6" x14ac:dyDescent="0.25">
      <c r="B15" s="43"/>
    </row>
    <row r="17" spans="2:2" x14ac:dyDescent="0.25">
      <c r="B17" s="43"/>
    </row>
    <row r="18" spans="2:2" x14ac:dyDescent="0.25">
      <c r="B18" s="43"/>
    </row>
  </sheetData>
  <dataValidations count="1">
    <dataValidation type="list" allowBlank="1" showInputMessage="1" showErrorMessage="1" sqref="B9:B10 B11" xr:uid="{2D2425B9-6EDB-43A0-84CA-CEC2FA406646}">
      <formula1>$B$2:$B$6</formula1>
    </dataValidation>
  </dataValidation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CE9C-3EC8-4C8B-A07D-911ADA94E446}">
  <dimension ref="B2:F34"/>
  <sheetViews>
    <sheetView zoomScale="114" workbookViewId="0">
      <selection activeCell="D10" sqref="D10"/>
    </sheetView>
  </sheetViews>
  <sheetFormatPr defaultRowHeight="15" x14ac:dyDescent="0.25"/>
  <cols>
    <col min="1" max="1" width="2.85546875" customWidth="1"/>
    <col min="2" max="2" width="16.42578125" bestFit="1" customWidth="1"/>
  </cols>
  <sheetData>
    <row r="2" spans="2:6" x14ac:dyDescent="0.25">
      <c r="B2" s="42" t="s">
        <v>29</v>
      </c>
      <c r="C2" s="42" t="s">
        <v>30</v>
      </c>
      <c r="D2" s="42" t="s">
        <v>31</v>
      </c>
      <c r="E2" s="42" t="s">
        <v>32</v>
      </c>
      <c r="F2" s="42" t="s">
        <v>33</v>
      </c>
    </row>
    <row r="3" spans="2:6" x14ac:dyDescent="0.25">
      <c r="B3" t="s">
        <v>34</v>
      </c>
      <c r="C3">
        <v>777</v>
      </c>
      <c r="D3">
        <v>893</v>
      </c>
      <c r="E3">
        <v>647</v>
      </c>
      <c r="F3">
        <v>635</v>
      </c>
    </row>
    <row r="4" spans="2:6" x14ac:dyDescent="0.25">
      <c r="B4" t="s">
        <v>35</v>
      </c>
      <c r="C4">
        <v>470</v>
      </c>
      <c r="D4">
        <v>752</v>
      </c>
      <c r="E4">
        <v>425</v>
      </c>
      <c r="F4">
        <v>754</v>
      </c>
    </row>
    <row r="5" spans="2:6" x14ac:dyDescent="0.25">
      <c r="B5" t="s">
        <v>36</v>
      </c>
      <c r="C5">
        <v>677</v>
      </c>
      <c r="D5">
        <v>895</v>
      </c>
      <c r="E5">
        <v>552</v>
      </c>
      <c r="F5">
        <v>993</v>
      </c>
    </row>
    <row r="6" spans="2:6" x14ac:dyDescent="0.25">
      <c r="B6" t="s">
        <v>37</v>
      </c>
      <c r="C6">
        <v>838</v>
      </c>
      <c r="D6">
        <v>461</v>
      </c>
      <c r="E6">
        <v>646</v>
      </c>
      <c r="F6">
        <v>873</v>
      </c>
    </row>
    <row r="8" spans="2:6" x14ac:dyDescent="0.25">
      <c r="B8" s="43" t="s">
        <v>101</v>
      </c>
    </row>
    <row r="9" spans="2:6" x14ac:dyDescent="0.25">
      <c r="B9" s="164" t="s">
        <v>37</v>
      </c>
      <c r="C9">
        <f t="array" ref="C9:F9">VLOOKUP($B$9,$B$3:$F$6,{2,3,4,5},0)</f>
        <v>838</v>
      </c>
      <c r="D9">
        <v>461</v>
      </c>
      <c r="E9">
        <v>646</v>
      </c>
      <c r="F9">
        <v>873</v>
      </c>
    </row>
    <row r="11" spans="2:6" x14ac:dyDescent="0.25">
      <c r="B11" s="43" t="s">
        <v>40</v>
      </c>
    </row>
    <row r="12" spans="2:6" x14ac:dyDescent="0.25">
      <c r="B12" t="s">
        <v>102</v>
      </c>
      <c r="C12">
        <f>MAX(C9:F9)</f>
        <v>873</v>
      </c>
    </row>
    <row r="13" spans="2:6" x14ac:dyDescent="0.25">
      <c r="B13" t="s">
        <v>103</v>
      </c>
      <c r="C13" t="e">
        <f>IF(C9=$C$12,$C$12,NA())</f>
        <v>#N/A</v>
      </c>
      <c r="D13" t="e">
        <f t="shared" ref="D13:F13" si="0">IF(D9=$C$12,$C$12,NA())</f>
        <v>#N/A</v>
      </c>
      <c r="E13" t="e">
        <f t="shared" si="0"/>
        <v>#N/A</v>
      </c>
      <c r="F13">
        <f t="shared" si="0"/>
        <v>873</v>
      </c>
    </row>
    <row r="15" spans="2:6" x14ac:dyDescent="0.25">
      <c r="C15">
        <f>AVERAGEIF(C13:F13, "&lt;&gt;#N/A")</f>
        <v>873</v>
      </c>
    </row>
    <row r="18" spans="2:6" x14ac:dyDescent="0.25">
      <c r="B18" s="144" t="s">
        <v>101</v>
      </c>
    </row>
    <row r="19" spans="2:6" x14ac:dyDescent="0.25">
      <c r="B19" s="163" t="s">
        <v>37</v>
      </c>
      <c r="C19" cm="1">
        <f t="array" ref="C19:F19">VLOOKUP($B$19,$B$2:$F$6,{2,3,4,5},FALSE)</f>
        <v>838</v>
      </c>
      <c r="D19">
        <v>461</v>
      </c>
      <c r="E19">
        <v>646</v>
      </c>
      <c r="F19">
        <v>873</v>
      </c>
    </row>
    <row r="20" spans="2:6" x14ac:dyDescent="0.25">
      <c r="B20" s="144"/>
    </row>
    <row r="21" spans="2:6" x14ac:dyDescent="0.25">
      <c r="C21" cm="1">
        <f t="array" ref="C21:F21">VLOOKUP($B$19,$B$2:$F$6,{2,3,4,5},FALSE)</f>
        <v>838</v>
      </c>
      <c r="D21">
        <v>461</v>
      </c>
      <c r="E21">
        <v>646</v>
      </c>
      <c r="F21">
        <v>873</v>
      </c>
    </row>
    <row r="23" spans="2:6" ht="24" x14ac:dyDescent="0.7">
      <c r="B23" s="145" t="s">
        <v>40</v>
      </c>
    </row>
    <row r="24" spans="2:6" ht="24" x14ac:dyDescent="0.7">
      <c r="B24" s="146" t="s">
        <v>194</v>
      </c>
      <c r="C24" s="147">
        <f>MAX(_xlfn.ANCHORARRAY($C$19))</f>
        <v>873</v>
      </c>
    </row>
    <row r="25" spans="2:6" ht="24" x14ac:dyDescent="0.7">
      <c r="B25" s="146" t="s">
        <v>103</v>
      </c>
      <c r="C25" t="e">
        <f>IF(C$19=$C$24,$C$24,NA())</f>
        <v>#N/A</v>
      </c>
      <c r="D25" t="e">
        <f t="shared" ref="D25:F25" si="1">IF(D$19=$C$24,$C$24,NA())</f>
        <v>#N/A</v>
      </c>
      <c r="E25" t="e">
        <f t="shared" si="1"/>
        <v>#N/A</v>
      </c>
      <c r="F25">
        <f t="shared" si="1"/>
        <v>873</v>
      </c>
    </row>
    <row r="27" spans="2:6" x14ac:dyDescent="0.25">
      <c r="B27" s="161" t="s">
        <v>101</v>
      </c>
    </row>
    <row r="28" spans="2:6" x14ac:dyDescent="0.25">
      <c r="B28" s="162" t="s">
        <v>36</v>
      </c>
      <c r="C28" cm="1">
        <f t="array" ref="C28:F28">VLOOKUP($B$28,$B$2:$F$6,{2,3,4,5},FALSE)</f>
        <v>677</v>
      </c>
      <c r="D28">
        <v>895</v>
      </c>
      <c r="E28">
        <v>552</v>
      </c>
      <c r="F28">
        <v>993</v>
      </c>
    </row>
    <row r="29" spans="2:6" x14ac:dyDescent="0.25">
      <c r="B29" s="161" t="s">
        <v>40</v>
      </c>
    </row>
    <row r="30" spans="2:6" x14ac:dyDescent="0.25">
      <c r="B30" s="161" t="s">
        <v>194</v>
      </c>
      <c r="C30">
        <f>MAX(_xlfn.ANCHORARRAY($C$28))</f>
        <v>993</v>
      </c>
    </row>
    <row r="31" spans="2:6" x14ac:dyDescent="0.25">
      <c r="B31" s="161" t="s">
        <v>103</v>
      </c>
      <c r="C31" t="e">
        <f>IF(C$28=$C$30,$C$30,NA())</f>
        <v>#N/A</v>
      </c>
      <c r="D31" t="e">
        <f>IF(D$28=$C$30,$C$30,NA())</f>
        <v>#N/A</v>
      </c>
      <c r="E31" t="e">
        <f>IF(E$28=$C$30,$C$30,NA())</f>
        <v>#N/A</v>
      </c>
      <c r="F31">
        <f>IF(F$28=$C$30,$C$30,NA())</f>
        <v>993</v>
      </c>
    </row>
    <row r="34" spans="4:4" x14ac:dyDescent="0.25">
      <c r="D34" t="s">
        <v>379</v>
      </c>
    </row>
  </sheetData>
  <dataValidations count="2">
    <dataValidation type="list" allowBlank="1" showInputMessage="1" showErrorMessage="1" sqref="B9" xr:uid="{FC06E0C0-FEC0-4D13-AFAB-A0912C0F19B0}">
      <formula1>$B$3:$B$6</formula1>
    </dataValidation>
    <dataValidation type="list" allowBlank="1" showInputMessage="1" showErrorMessage="1" sqref="B19:B20 B28" xr:uid="{32971F81-097F-47B5-9B49-D65931CED87B}">
      <formula1>$B$2:$B$6</formula1>
    </dataValidation>
  </dataValidation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0BA8-1D55-458A-BC44-520B61E3F62F}">
  <dimension ref="A1:X80"/>
  <sheetViews>
    <sheetView topLeftCell="D37" workbookViewId="0">
      <selection activeCell="J81" sqref="J80:J81"/>
    </sheetView>
  </sheetViews>
  <sheetFormatPr defaultRowHeight="15" x14ac:dyDescent="0.25"/>
  <cols>
    <col min="1" max="1" width="4.28515625" customWidth="1"/>
    <col min="3" max="3" width="23.42578125" customWidth="1"/>
    <col min="8" max="8" width="11.85546875" customWidth="1"/>
    <col min="18" max="18" width="11.7109375" customWidth="1"/>
    <col min="19" max="19" width="10.7109375" customWidth="1"/>
  </cols>
  <sheetData>
    <row r="1" spans="1:24" x14ac:dyDescent="0.25">
      <c r="A1" s="43" t="s">
        <v>104</v>
      </c>
    </row>
    <row r="3" spans="1:24" x14ac:dyDescent="0.25">
      <c r="B3" s="92" t="s">
        <v>105</v>
      </c>
      <c r="C3" s="93" t="s">
        <v>106</v>
      </c>
      <c r="D3" s="93" t="s">
        <v>107</v>
      </c>
      <c r="E3" s="94" t="s">
        <v>108</v>
      </c>
      <c r="F3" s="94" t="s">
        <v>109</v>
      </c>
      <c r="G3" s="94" t="s">
        <v>110</v>
      </c>
      <c r="H3" s="95" t="s">
        <v>111</v>
      </c>
      <c r="J3" t="s">
        <v>20</v>
      </c>
    </row>
    <row r="4" spans="1:24" x14ac:dyDescent="0.25">
      <c r="B4" s="96">
        <v>43471</v>
      </c>
      <c r="C4" s="97" t="s">
        <v>32</v>
      </c>
      <c r="D4" s="97" t="s">
        <v>112</v>
      </c>
      <c r="E4" s="98" t="s">
        <v>113</v>
      </c>
      <c r="F4" s="97">
        <v>95</v>
      </c>
      <c r="G4" s="99">
        <v>1.99</v>
      </c>
      <c r="H4" s="100">
        <v>189.05</v>
      </c>
      <c r="J4" t="s">
        <v>114</v>
      </c>
    </row>
    <row r="5" spans="1:24" x14ac:dyDescent="0.25">
      <c r="B5" s="96">
        <v>43488</v>
      </c>
      <c r="C5" s="97" t="s">
        <v>115</v>
      </c>
      <c r="D5" s="97" t="s">
        <v>116</v>
      </c>
      <c r="E5" s="98" t="s">
        <v>117</v>
      </c>
      <c r="F5" s="97">
        <v>50</v>
      </c>
      <c r="G5" s="99">
        <v>19.989999999999998</v>
      </c>
      <c r="H5" s="100">
        <v>999.49999999999989</v>
      </c>
    </row>
    <row r="6" spans="1:24" x14ac:dyDescent="0.25">
      <c r="B6" s="96">
        <v>43505</v>
      </c>
      <c r="C6" s="97" t="s">
        <v>115</v>
      </c>
      <c r="D6" s="97" t="s">
        <v>118</v>
      </c>
      <c r="E6" s="98" t="s">
        <v>113</v>
      </c>
      <c r="F6" s="97">
        <v>36</v>
      </c>
      <c r="G6" s="99">
        <v>4.99</v>
      </c>
      <c r="H6" s="100">
        <v>179.64000000000001</v>
      </c>
      <c r="J6" s="92" t="s">
        <v>105</v>
      </c>
      <c r="K6" s="93" t="s">
        <v>106</v>
      </c>
      <c r="L6" s="93" t="s">
        <v>107</v>
      </c>
      <c r="M6" s="94" t="s">
        <v>108</v>
      </c>
      <c r="N6" s="94" t="s">
        <v>109</v>
      </c>
      <c r="O6" s="94" t="s">
        <v>110</v>
      </c>
      <c r="P6" s="95" t="s">
        <v>111</v>
      </c>
      <c r="R6" s="92" t="s">
        <v>105</v>
      </c>
      <c r="S6" s="93" t="s">
        <v>106</v>
      </c>
      <c r="T6" s="93" t="s">
        <v>107</v>
      </c>
      <c r="U6" s="94" t="s">
        <v>108</v>
      </c>
      <c r="V6" s="94" t="s">
        <v>109</v>
      </c>
      <c r="W6" s="94" t="s">
        <v>110</v>
      </c>
      <c r="X6" s="95" t="s">
        <v>111</v>
      </c>
    </row>
    <row r="7" spans="1:24" x14ac:dyDescent="0.25">
      <c r="B7" s="96">
        <v>43522</v>
      </c>
      <c r="C7" s="97" t="s">
        <v>115</v>
      </c>
      <c r="D7" s="97" t="s">
        <v>119</v>
      </c>
      <c r="E7" s="98" t="s">
        <v>120</v>
      </c>
      <c r="F7" s="97">
        <v>27</v>
      </c>
      <c r="G7" s="99">
        <v>19.989999999999998</v>
      </c>
      <c r="H7" s="100">
        <v>539.7299999999999</v>
      </c>
      <c r="J7" cm="1">
        <f t="array" ref="J7:P21">_xlfn._xlws.FILTER(B4:H46,E4:E46="Binder")</f>
        <v>43488</v>
      </c>
      <c r="K7" t="str">
        <v>Central</v>
      </c>
      <c r="L7" t="str">
        <v>Kivell</v>
      </c>
      <c r="M7" t="str">
        <v>Binder</v>
      </c>
      <c r="N7">
        <v>50</v>
      </c>
      <c r="O7">
        <v>19.989999999999998</v>
      </c>
      <c r="P7">
        <v>999.49999999999989</v>
      </c>
      <c r="R7" cm="1">
        <f t="array" ref="R7:X9">_xlfn._xlws.FILTER($B$3:$H$46,$E$3:$E$46="Desk")</f>
        <v>43709</v>
      </c>
      <c r="S7" t="str">
        <v>Central</v>
      </c>
      <c r="T7" t="str">
        <v>Smith</v>
      </c>
      <c r="U7" t="str">
        <v>Desk</v>
      </c>
      <c r="V7">
        <v>2</v>
      </c>
      <c r="W7">
        <v>125</v>
      </c>
      <c r="X7">
        <v>250</v>
      </c>
    </row>
    <row r="8" spans="1:24" x14ac:dyDescent="0.25">
      <c r="B8" s="96">
        <v>43539</v>
      </c>
      <c r="C8" s="97" t="s">
        <v>33</v>
      </c>
      <c r="D8" s="97" t="s">
        <v>121</v>
      </c>
      <c r="E8" s="98" t="s">
        <v>113</v>
      </c>
      <c r="F8" s="97">
        <v>56</v>
      </c>
      <c r="G8" s="99">
        <v>2.99</v>
      </c>
      <c r="H8" s="100">
        <v>167.44</v>
      </c>
      <c r="J8">
        <v>43556</v>
      </c>
      <c r="K8" t="str">
        <v>East</v>
      </c>
      <c r="L8" t="str">
        <v>Jones</v>
      </c>
      <c r="M8" t="str">
        <v>Binder</v>
      </c>
      <c r="N8">
        <v>60</v>
      </c>
      <c r="O8">
        <v>4.99</v>
      </c>
      <c r="P8">
        <v>299.40000000000003</v>
      </c>
      <c r="R8">
        <v>43999</v>
      </c>
      <c r="S8" t="str">
        <v>Central</v>
      </c>
      <c r="T8" t="str">
        <v>Kivell</v>
      </c>
      <c r="U8" t="str">
        <v>Desk</v>
      </c>
      <c r="V8">
        <v>5</v>
      </c>
      <c r="W8">
        <v>125</v>
      </c>
      <c r="X8">
        <v>625</v>
      </c>
    </row>
    <row r="9" spans="1:24" x14ac:dyDescent="0.25">
      <c r="B9" s="96">
        <v>43556</v>
      </c>
      <c r="C9" s="97" t="s">
        <v>32</v>
      </c>
      <c r="D9" s="97" t="s">
        <v>112</v>
      </c>
      <c r="E9" s="98" t="s">
        <v>117</v>
      </c>
      <c r="F9" s="97">
        <v>60</v>
      </c>
      <c r="G9" s="99">
        <v>4.99</v>
      </c>
      <c r="H9" s="100">
        <v>299.40000000000003</v>
      </c>
      <c r="J9">
        <v>43624</v>
      </c>
      <c r="K9" t="str">
        <v>East</v>
      </c>
      <c r="L9" t="str">
        <v>Jones</v>
      </c>
      <c r="M9" t="str">
        <v>Binder</v>
      </c>
      <c r="N9">
        <v>60</v>
      </c>
      <c r="O9">
        <v>8.99</v>
      </c>
      <c r="P9">
        <v>539.4</v>
      </c>
      <c r="R9">
        <v>44067</v>
      </c>
      <c r="S9" t="str">
        <v>West</v>
      </c>
      <c r="T9" t="str">
        <v>Sorvino</v>
      </c>
      <c r="U9" t="str">
        <v>Desk</v>
      </c>
      <c r="V9">
        <v>3</v>
      </c>
      <c r="W9">
        <v>275</v>
      </c>
      <c r="X9">
        <v>825</v>
      </c>
    </row>
    <row r="10" spans="1:24" x14ac:dyDescent="0.25">
      <c r="B10" s="96">
        <v>43573</v>
      </c>
      <c r="C10" s="97" t="s">
        <v>115</v>
      </c>
      <c r="D10" s="97" t="s">
        <v>122</v>
      </c>
      <c r="E10" s="98" t="s">
        <v>113</v>
      </c>
      <c r="F10" s="97">
        <v>75</v>
      </c>
      <c r="G10" s="99">
        <v>1.99</v>
      </c>
      <c r="H10" s="100">
        <v>149.25</v>
      </c>
      <c r="J10">
        <v>43658</v>
      </c>
      <c r="K10" t="str">
        <v>East</v>
      </c>
      <c r="L10" t="str">
        <v>Howard</v>
      </c>
      <c r="M10" t="str">
        <v>Binder</v>
      </c>
      <c r="N10">
        <v>29</v>
      </c>
      <c r="O10">
        <v>1.99</v>
      </c>
      <c r="P10">
        <v>57.71</v>
      </c>
    </row>
    <row r="11" spans="1:24" x14ac:dyDescent="0.25">
      <c r="B11" s="96">
        <v>43590</v>
      </c>
      <c r="C11" s="97" t="s">
        <v>115</v>
      </c>
      <c r="D11" s="97" t="s">
        <v>118</v>
      </c>
      <c r="E11" s="98" t="s">
        <v>113</v>
      </c>
      <c r="F11" s="97">
        <v>90</v>
      </c>
      <c r="G11" s="99">
        <v>4.99</v>
      </c>
      <c r="H11" s="100">
        <v>449.1</v>
      </c>
      <c r="J11">
        <v>43675</v>
      </c>
      <c r="K11" t="str">
        <v>East</v>
      </c>
      <c r="L11" t="str">
        <v>Parent</v>
      </c>
      <c r="M11" t="str">
        <v>Binder</v>
      </c>
      <c r="N11">
        <v>81</v>
      </c>
      <c r="O11">
        <v>19.989999999999998</v>
      </c>
      <c r="P11">
        <v>1619.1899999999998</v>
      </c>
    </row>
    <row r="12" spans="1:24" x14ac:dyDescent="0.25">
      <c r="B12" s="96">
        <v>43607</v>
      </c>
      <c r="C12" s="97" t="s">
        <v>33</v>
      </c>
      <c r="D12" s="97" t="s">
        <v>123</v>
      </c>
      <c r="E12" s="98" t="s">
        <v>113</v>
      </c>
      <c r="F12" s="97">
        <v>32</v>
      </c>
      <c r="G12" s="99">
        <v>1.99</v>
      </c>
      <c r="H12" s="100">
        <v>63.68</v>
      </c>
      <c r="J12">
        <v>43743</v>
      </c>
      <c r="K12" t="str">
        <v>Central</v>
      </c>
      <c r="L12" t="str">
        <v>Morgan</v>
      </c>
      <c r="M12" t="str">
        <v>Binder</v>
      </c>
      <c r="N12">
        <v>28</v>
      </c>
      <c r="O12">
        <v>8.99</v>
      </c>
      <c r="P12">
        <v>251.72</v>
      </c>
      <c r="R12" cm="1">
        <f t="array" ref="R12:X18">_xlfn._xlws.FILTER($B$3:$H$46,$E$3:$E$46="Pen set")</f>
        <v>43726</v>
      </c>
      <c r="S12" t="str">
        <v>East</v>
      </c>
      <c r="T12" t="str">
        <v>Jones</v>
      </c>
      <c r="U12" t="str">
        <v>Pen Set</v>
      </c>
      <c r="V12">
        <v>16</v>
      </c>
      <c r="W12">
        <v>15.99</v>
      </c>
      <c r="X12">
        <v>255.84</v>
      </c>
    </row>
    <row r="13" spans="1:24" x14ac:dyDescent="0.25">
      <c r="B13" s="96">
        <v>43624</v>
      </c>
      <c r="C13" s="97" t="s">
        <v>32</v>
      </c>
      <c r="D13" s="97" t="s">
        <v>112</v>
      </c>
      <c r="E13" s="98" t="s">
        <v>117</v>
      </c>
      <c r="F13" s="97">
        <v>60</v>
      </c>
      <c r="G13" s="99">
        <v>8.99</v>
      </c>
      <c r="H13" s="100">
        <v>539.4</v>
      </c>
      <c r="J13">
        <v>43845</v>
      </c>
      <c r="K13" t="str">
        <v>Central</v>
      </c>
      <c r="L13" t="str">
        <v>Gill</v>
      </c>
      <c r="M13" t="str">
        <v>Binder</v>
      </c>
      <c r="N13">
        <v>46</v>
      </c>
      <c r="O13">
        <v>8.99</v>
      </c>
      <c r="P13">
        <v>413.54</v>
      </c>
      <c r="R13">
        <v>43794</v>
      </c>
      <c r="S13" t="str">
        <v>Central</v>
      </c>
      <c r="T13" t="str">
        <v>Kivell</v>
      </c>
      <c r="U13" t="str">
        <v>Pen Set</v>
      </c>
      <c r="V13">
        <v>96</v>
      </c>
      <c r="W13">
        <v>4.99</v>
      </c>
      <c r="X13">
        <v>479.04</v>
      </c>
    </row>
    <row r="14" spans="1:24" x14ac:dyDescent="0.25">
      <c r="B14" s="96">
        <v>43641</v>
      </c>
      <c r="C14" s="97" t="s">
        <v>115</v>
      </c>
      <c r="D14" s="97" t="s">
        <v>124</v>
      </c>
      <c r="E14" s="98" t="s">
        <v>113</v>
      </c>
      <c r="F14" s="97">
        <v>90</v>
      </c>
      <c r="G14" s="99">
        <v>4.99</v>
      </c>
      <c r="H14" s="100">
        <v>449.1</v>
      </c>
      <c r="J14">
        <v>43862</v>
      </c>
      <c r="K14" t="str">
        <v>Central</v>
      </c>
      <c r="L14" t="str">
        <v>Smith</v>
      </c>
      <c r="M14" t="str">
        <v>Binder</v>
      </c>
      <c r="N14">
        <v>87</v>
      </c>
      <c r="O14">
        <v>15</v>
      </c>
      <c r="P14">
        <v>1305</v>
      </c>
      <c r="R14">
        <v>43828</v>
      </c>
      <c r="S14" t="str">
        <v>East</v>
      </c>
      <c r="T14" t="str">
        <v>Parent</v>
      </c>
      <c r="U14" t="str">
        <v>Pen Set</v>
      </c>
      <c r="V14">
        <v>74</v>
      </c>
      <c r="W14">
        <v>15.99</v>
      </c>
      <c r="X14">
        <v>1183.26</v>
      </c>
    </row>
    <row r="15" spans="1:24" x14ac:dyDescent="0.25">
      <c r="B15" s="96">
        <v>43658</v>
      </c>
      <c r="C15" s="97" t="s">
        <v>32</v>
      </c>
      <c r="D15" s="97" t="s">
        <v>125</v>
      </c>
      <c r="E15" s="98" t="s">
        <v>117</v>
      </c>
      <c r="F15" s="97">
        <v>29</v>
      </c>
      <c r="G15" s="99">
        <v>1.99</v>
      </c>
      <c r="H15" s="100">
        <v>57.71</v>
      </c>
      <c r="J15">
        <v>43879</v>
      </c>
      <c r="K15" t="str">
        <v>East</v>
      </c>
      <c r="L15" t="str">
        <v>Jones</v>
      </c>
      <c r="M15" t="str">
        <v>Binder</v>
      </c>
      <c r="N15">
        <v>4</v>
      </c>
      <c r="O15">
        <v>4.99</v>
      </c>
      <c r="P15">
        <v>19.96</v>
      </c>
      <c r="R15">
        <v>43914</v>
      </c>
      <c r="S15" t="str">
        <v>Central</v>
      </c>
      <c r="T15" t="str">
        <v>Jardine</v>
      </c>
      <c r="U15" t="str">
        <v>Pen Set</v>
      </c>
      <c r="V15">
        <v>50</v>
      </c>
      <c r="W15">
        <v>4.99</v>
      </c>
      <c r="X15">
        <v>249.5</v>
      </c>
    </row>
    <row r="16" spans="1:24" x14ac:dyDescent="0.25">
      <c r="B16" s="96">
        <v>43675</v>
      </c>
      <c r="C16" s="97" t="s">
        <v>32</v>
      </c>
      <c r="D16" s="97" t="s">
        <v>126</v>
      </c>
      <c r="E16" s="98" t="s">
        <v>117</v>
      </c>
      <c r="F16" s="97">
        <v>81</v>
      </c>
      <c r="G16" s="99">
        <v>19.989999999999998</v>
      </c>
      <c r="H16" s="100">
        <v>1619.1899999999998</v>
      </c>
      <c r="J16">
        <v>43897</v>
      </c>
      <c r="K16" t="str">
        <v>West</v>
      </c>
      <c r="L16" t="str">
        <v>Sorvino</v>
      </c>
      <c r="M16" t="str">
        <v>Binder</v>
      </c>
      <c r="N16">
        <v>7</v>
      </c>
      <c r="O16">
        <v>19.989999999999998</v>
      </c>
      <c r="P16">
        <v>139.92999999999998</v>
      </c>
      <c r="R16">
        <v>44016</v>
      </c>
      <c r="S16" t="str">
        <v>East</v>
      </c>
      <c r="T16" t="str">
        <v>Jones</v>
      </c>
      <c r="U16" t="str">
        <v>Pen Set</v>
      </c>
      <c r="V16">
        <v>62</v>
      </c>
      <c r="W16">
        <v>4.99</v>
      </c>
      <c r="X16">
        <v>309.38</v>
      </c>
    </row>
    <row r="17" spans="2:24" x14ac:dyDescent="0.25">
      <c r="B17" s="96">
        <v>43692</v>
      </c>
      <c r="C17" s="97" t="s">
        <v>32</v>
      </c>
      <c r="D17" s="97" t="s">
        <v>112</v>
      </c>
      <c r="E17" s="98" t="s">
        <v>113</v>
      </c>
      <c r="F17" s="97">
        <v>35</v>
      </c>
      <c r="G17" s="99">
        <v>4.99</v>
      </c>
      <c r="H17" s="100">
        <v>174.65</v>
      </c>
      <c r="J17">
        <v>43982</v>
      </c>
      <c r="K17" t="str">
        <v>Central</v>
      </c>
      <c r="L17" t="str">
        <v>Gill</v>
      </c>
      <c r="M17" t="str">
        <v>Binder</v>
      </c>
      <c r="N17">
        <v>80</v>
      </c>
      <c r="O17">
        <v>8.99</v>
      </c>
      <c r="P17">
        <v>719.2</v>
      </c>
      <c r="R17">
        <v>44033</v>
      </c>
      <c r="S17" t="str">
        <v>Central</v>
      </c>
      <c r="T17" t="str">
        <v>Morgan</v>
      </c>
      <c r="U17" t="str">
        <v>Pen Set</v>
      </c>
      <c r="V17">
        <v>55</v>
      </c>
      <c r="W17">
        <v>12.49</v>
      </c>
      <c r="X17">
        <v>686.95</v>
      </c>
    </row>
    <row r="18" spans="2:24" x14ac:dyDescent="0.25">
      <c r="B18" s="96">
        <v>43709</v>
      </c>
      <c r="C18" s="97" t="s">
        <v>115</v>
      </c>
      <c r="D18" s="97" t="s">
        <v>127</v>
      </c>
      <c r="E18" s="98" t="s">
        <v>128</v>
      </c>
      <c r="F18" s="97">
        <v>2</v>
      </c>
      <c r="G18" s="99">
        <v>125</v>
      </c>
      <c r="H18" s="100">
        <v>250</v>
      </c>
      <c r="J18">
        <v>44118</v>
      </c>
      <c r="K18" t="str">
        <v>West</v>
      </c>
      <c r="L18" t="str">
        <v>Thompson</v>
      </c>
      <c r="M18" t="str">
        <v>Binder</v>
      </c>
      <c r="N18">
        <v>57</v>
      </c>
      <c r="O18">
        <v>19.989999999999998</v>
      </c>
      <c r="P18">
        <v>1139.4299999999998</v>
      </c>
      <c r="R18">
        <v>44050</v>
      </c>
      <c r="S18" t="str">
        <v>Central</v>
      </c>
      <c r="T18" t="str">
        <v>Kivell</v>
      </c>
      <c r="U18" t="str">
        <v>Pen Set</v>
      </c>
      <c r="V18">
        <v>42</v>
      </c>
      <c r="W18">
        <v>23.95</v>
      </c>
      <c r="X18">
        <v>1005.9</v>
      </c>
    </row>
    <row r="19" spans="2:24" x14ac:dyDescent="0.25">
      <c r="B19" s="96">
        <v>43726</v>
      </c>
      <c r="C19" s="97" t="s">
        <v>32</v>
      </c>
      <c r="D19" s="97" t="s">
        <v>112</v>
      </c>
      <c r="E19" s="98" t="s">
        <v>129</v>
      </c>
      <c r="F19" s="97">
        <v>16</v>
      </c>
      <c r="G19" s="99">
        <v>15.99</v>
      </c>
      <c r="H19" s="100">
        <v>255.84</v>
      </c>
      <c r="J19">
        <v>44152</v>
      </c>
      <c r="K19" t="str">
        <v>Central</v>
      </c>
      <c r="L19" t="str">
        <v>Jardine</v>
      </c>
      <c r="M19" t="str">
        <v>Binder</v>
      </c>
      <c r="N19">
        <v>11</v>
      </c>
      <c r="O19">
        <v>4.99</v>
      </c>
      <c r="P19">
        <v>54.89</v>
      </c>
    </row>
    <row r="20" spans="2:24" x14ac:dyDescent="0.25">
      <c r="B20" s="96">
        <v>43743</v>
      </c>
      <c r="C20" s="97" t="s">
        <v>115</v>
      </c>
      <c r="D20" s="97" t="s">
        <v>124</v>
      </c>
      <c r="E20" s="98" t="s">
        <v>117</v>
      </c>
      <c r="F20" s="97">
        <v>28</v>
      </c>
      <c r="G20" s="99">
        <v>8.99</v>
      </c>
      <c r="H20" s="100">
        <v>251.72</v>
      </c>
      <c r="J20">
        <v>44169</v>
      </c>
      <c r="K20" t="str">
        <v>Central</v>
      </c>
      <c r="L20" t="str">
        <v>Jardine</v>
      </c>
      <c r="M20" t="str">
        <v>Binder</v>
      </c>
      <c r="N20">
        <v>94</v>
      </c>
      <c r="O20">
        <v>19.989999999999998</v>
      </c>
      <c r="P20">
        <v>1879.06</v>
      </c>
    </row>
    <row r="21" spans="2:24" x14ac:dyDescent="0.25">
      <c r="B21" s="96">
        <v>43760</v>
      </c>
      <c r="C21" s="97" t="s">
        <v>32</v>
      </c>
      <c r="D21" s="97" t="s">
        <v>112</v>
      </c>
      <c r="E21" s="98" t="s">
        <v>120</v>
      </c>
      <c r="F21" s="97">
        <v>64</v>
      </c>
      <c r="G21" s="99">
        <v>8.99</v>
      </c>
      <c r="H21" s="100">
        <v>575.36</v>
      </c>
      <c r="J21">
        <v>44186</v>
      </c>
      <c r="K21" t="str">
        <v>Central</v>
      </c>
      <c r="L21" t="str">
        <v>Andrews</v>
      </c>
      <c r="M21" t="str">
        <v>Binder</v>
      </c>
      <c r="N21">
        <v>28</v>
      </c>
      <c r="O21">
        <v>4.99</v>
      </c>
      <c r="P21">
        <v>139.72</v>
      </c>
    </row>
    <row r="22" spans="2:24" x14ac:dyDescent="0.25">
      <c r="B22" s="96">
        <v>43777</v>
      </c>
      <c r="C22" s="97" t="s">
        <v>32</v>
      </c>
      <c r="D22" s="97" t="s">
        <v>126</v>
      </c>
      <c r="E22" s="98" t="s">
        <v>120</v>
      </c>
      <c r="F22" s="97">
        <v>15</v>
      </c>
      <c r="G22" s="99">
        <v>19.989999999999998</v>
      </c>
      <c r="H22" s="100">
        <v>299.84999999999997</v>
      </c>
    </row>
    <row r="23" spans="2:24" x14ac:dyDescent="0.25">
      <c r="B23" s="96">
        <v>43794</v>
      </c>
      <c r="C23" s="97" t="s">
        <v>115</v>
      </c>
      <c r="D23" s="97" t="s">
        <v>116</v>
      </c>
      <c r="E23" s="98" t="s">
        <v>129</v>
      </c>
      <c r="F23" s="97">
        <v>96</v>
      </c>
      <c r="G23" s="99">
        <v>4.99</v>
      </c>
      <c r="H23" s="100">
        <v>479.04</v>
      </c>
    </row>
    <row r="24" spans="2:24" x14ac:dyDescent="0.25">
      <c r="B24" s="96">
        <v>43811</v>
      </c>
      <c r="C24" s="97" t="s">
        <v>115</v>
      </c>
      <c r="D24" s="97" t="s">
        <v>127</v>
      </c>
      <c r="E24" s="98" t="s">
        <v>113</v>
      </c>
      <c r="F24" s="97">
        <v>67</v>
      </c>
      <c r="G24" s="99">
        <v>1.29</v>
      </c>
      <c r="H24" s="100">
        <v>86.43</v>
      </c>
      <c r="J24" cm="1">
        <f t="array" ref="J24:P36">_xlfn._xlws.FILTER($B$3:$H$46,$E$3:$E$46="Pencil")</f>
        <v>43471</v>
      </c>
      <c r="K24" t="str">
        <v>East</v>
      </c>
      <c r="L24" t="str">
        <v>Jones</v>
      </c>
      <c r="M24" t="str">
        <v>Pencil</v>
      </c>
      <c r="N24">
        <v>95</v>
      </c>
      <c r="O24">
        <v>1.99</v>
      </c>
      <c r="P24">
        <v>189.05</v>
      </c>
      <c r="R24" cm="1">
        <f t="array" ref="R24:X38">_xlfn._xlws.FILTER($B$3:$H$46,$E$3:$E$46="Binder")</f>
        <v>43488</v>
      </c>
      <c r="S24" t="str">
        <v>Central</v>
      </c>
      <c r="T24" t="str">
        <v>Kivell</v>
      </c>
      <c r="U24" t="str">
        <v>Binder</v>
      </c>
      <c r="V24">
        <v>50</v>
      </c>
      <c r="W24">
        <v>19.989999999999998</v>
      </c>
      <c r="X24">
        <v>999.49999999999989</v>
      </c>
    </row>
    <row r="25" spans="2:24" x14ac:dyDescent="0.25">
      <c r="B25" s="96">
        <v>43828</v>
      </c>
      <c r="C25" s="97" t="s">
        <v>32</v>
      </c>
      <c r="D25" s="97" t="s">
        <v>126</v>
      </c>
      <c r="E25" s="98" t="s">
        <v>129</v>
      </c>
      <c r="F25" s="97">
        <v>74</v>
      </c>
      <c r="G25" s="99">
        <v>15.99</v>
      </c>
      <c r="H25" s="100">
        <v>1183.26</v>
      </c>
      <c r="J25">
        <v>43505</v>
      </c>
      <c r="K25" t="str">
        <v>Central</v>
      </c>
      <c r="L25" t="str">
        <v>Jardine</v>
      </c>
      <c r="M25" t="str">
        <v>Pencil</v>
      </c>
      <c r="N25">
        <v>36</v>
      </c>
      <c r="O25">
        <v>4.99</v>
      </c>
      <c r="P25">
        <v>179.64000000000001</v>
      </c>
      <c r="R25">
        <v>43556</v>
      </c>
      <c r="S25" t="str">
        <v>East</v>
      </c>
      <c r="T25" t="str">
        <v>Jones</v>
      </c>
      <c r="U25" t="str">
        <v>Binder</v>
      </c>
      <c r="V25">
        <v>60</v>
      </c>
      <c r="W25">
        <v>4.99</v>
      </c>
      <c r="X25">
        <v>299.40000000000003</v>
      </c>
    </row>
    <row r="26" spans="2:24" x14ac:dyDescent="0.25">
      <c r="B26" s="96">
        <v>43845</v>
      </c>
      <c r="C26" s="97" t="s">
        <v>115</v>
      </c>
      <c r="D26" s="97" t="s">
        <v>119</v>
      </c>
      <c r="E26" s="98" t="s">
        <v>117</v>
      </c>
      <c r="F26" s="97">
        <v>46</v>
      </c>
      <c r="G26" s="99">
        <v>8.99</v>
      </c>
      <c r="H26" s="100">
        <v>413.54</v>
      </c>
      <c r="J26">
        <v>43539</v>
      </c>
      <c r="K26" t="str">
        <v>West</v>
      </c>
      <c r="L26" t="str">
        <v>Sorvino</v>
      </c>
      <c r="M26" t="str">
        <v>Pencil</v>
      </c>
      <c r="N26">
        <v>56</v>
      </c>
      <c r="O26">
        <v>2.99</v>
      </c>
      <c r="P26">
        <v>167.44</v>
      </c>
      <c r="R26">
        <v>43624</v>
      </c>
      <c r="S26" t="str">
        <v>East</v>
      </c>
      <c r="T26" t="str">
        <v>Jones</v>
      </c>
      <c r="U26" t="str">
        <v>Binder</v>
      </c>
      <c r="V26">
        <v>60</v>
      </c>
      <c r="W26">
        <v>8.99</v>
      </c>
      <c r="X26">
        <v>539.4</v>
      </c>
    </row>
    <row r="27" spans="2:24" x14ac:dyDescent="0.25">
      <c r="B27" s="96">
        <v>43862</v>
      </c>
      <c r="C27" s="97" t="s">
        <v>115</v>
      </c>
      <c r="D27" s="97" t="s">
        <v>127</v>
      </c>
      <c r="E27" s="98" t="s">
        <v>117</v>
      </c>
      <c r="F27" s="97">
        <v>87</v>
      </c>
      <c r="G27" s="99">
        <v>15</v>
      </c>
      <c r="H27" s="100">
        <v>1305</v>
      </c>
      <c r="J27">
        <v>43573</v>
      </c>
      <c r="K27" t="str">
        <v>Central</v>
      </c>
      <c r="L27" t="str">
        <v>Andrews</v>
      </c>
      <c r="M27" t="str">
        <v>Pencil</v>
      </c>
      <c r="N27">
        <v>75</v>
      </c>
      <c r="O27">
        <v>1.99</v>
      </c>
      <c r="P27">
        <v>149.25</v>
      </c>
      <c r="R27">
        <v>43658</v>
      </c>
      <c r="S27" t="str">
        <v>East</v>
      </c>
      <c r="T27" t="str">
        <v>Howard</v>
      </c>
      <c r="U27" t="str">
        <v>Binder</v>
      </c>
      <c r="V27">
        <v>29</v>
      </c>
      <c r="W27">
        <v>1.99</v>
      </c>
      <c r="X27">
        <v>57.71</v>
      </c>
    </row>
    <row r="28" spans="2:24" x14ac:dyDescent="0.25">
      <c r="B28" s="96">
        <v>43879</v>
      </c>
      <c r="C28" s="97" t="s">
        <v>32</v>
      </c>
      <c r="D28" s="97" t="s">
        <v>112</v>
      </c>
      <c r="E28" s="98" t="s">
        <v>117</v>
      </c>
      <c r="F28" s="97">
        <v>4</v>
      </c>
      <c r="G28" s="99">
        <v>4.99</v>
      </c>
      <c r="H28" s="100">
        <v>19.96</v>
      </c>
      <c r="J28">
        <v>43590</v>
      </c>
      <c r="K28" t="str">
        <v>Central</v>
      </c>
      <c r="L28" t="str">
        <v>Jardine</v>
      </c>
      <c r="M28" t="str">
        <v>Pencil</v>
      </c>
      <c r="N28">
        <v>90</v>
      </c>
      <c r="O28">
        <v>4.99</v>
      </c>
      <c r="P28">
        <v>449.1</v>
      </c>
      <c r="R28">
        <v>43675</v>
      </c>
      <c r="S28" t="str">
        <v>East</v>
      </c>
      <c r="T28" t="str">
        <v>Parent</v>
      </c>
      <c r="U28" t="str">
        <v>Binder</v>
      </c>
      <c r="V28">
        <v>81</v>
      </c>
      <c r="W28">
        <v>19.989999999999998</v>
      </c>
      <c r="X28">
        <v>1619.1899999999998</v>
      </c>
    </row>
    <row r="29" spans="2:24" x14ac:dyDescent="0.25">
      <c r="B29" s="96">
        <v>43897</v>
      </c>
      <c r="C29" s="97" t="s">
        <v>33</v>
      </c>
      <c r="D29" s="97" t="s">
        <v>121</v>
      </c>
      <c r="E29" s="98" t="s">
        <v>117</v>
      </c>
      <c r="F29" s="97">
        <v>7</v>
      </c>
      <c r="G29" s="99">
        <v>19.989999999999998</v>
      </c>
      <c r="H29" s="100">
        <v>139.92999999999998</v>
      </c>
      <c r="J29">
        <v>43607</v>
      </c>
      <c r="K29" t="str">
        <v>West</v>
      </c>
      <c r="L29" t="str">
        <v>Thompson</v>
      </c>
      <c r="M29" t="str">
        <v>Pencil</v>
      </c>
      <c r="N29">
        <v>32</v>
      </c>
      <c r="O29">
        <v>1.99</v>
      </c>
      <c r="P29">
        <v>63.68</v>
      </c>
      <c r="R29">
        <v>43743</v>
      </c>
      <c r="S29" t="str">
        <v>Central</v>
      </c>
      <c r="T29" t="str">
        <v>Morgan</v>
      </c>
      <c r="U29" t="str">
        <v>Binder</v>
      </c>
      <c r="V29">
        <v>28</v>
      </c>
      <c r="W29">
        <v>8.99</v>
      </c>
      <c r="X29">
        <v>251.72</v>
      </c>
    </row>
    <row r="30" spans="2:24" x14ac:dyDescent="0.25">
      <c r="B30" s="96">
        <v>43914</v>
      </c>
      <c r="C30" s="97" t="s">
        <v>115</v>
      </c>
      <c r="D30" s="97" t="s">
        <v>118</v>
      </c>
      <c r="E30" s="98" t="s">
        <v>129</v>
      </c>
      <c r="F30" s="97">
        <v>50</v>
      </c>
      <c r="G30" s="99">
        <v>4.99</v>
      </c>
      <c r="H30" s="100">
        <v>249.5</v>
      </c>
      <c r="J30">
        <v>43641</v>
      </c>
      <c r="K30" t="str">
        <v>Central</v>
      </c>
      <c r="L30" t="str">
        <v>Morgan</v>
      </c>
      <c r="M30" t="str">
        <v>Pencil</v>
      </c>
      <c r="N30">
        <v>90</v>
      </c>
      <c r="O30">
        <v>4.99</v>
      </c>
      <c r="P30">
        <v>449.1</v>
      </c>
      <c r="R30">
        <v>43845</v>
      </c>
      <c r="S30" t="str">
        <v>Central</v>
      </c>
      <c r="T30" t="str">
        <v>Gill</v>
      </c>
      <c r="U30" t="str">
        <v>Binder</v>
      </c>
      <c r="V30">
        <v>46</v>
      </c>
      <c r="W30">
        <v>8.99</v>
      </c>
      <c r="X30">
        <v>413.54</v>
      </c>
    </row>
    <row r="31" spans="2:24" x14ac:dyDescent="0.25">
      <c r="B31" s="96">
        <v>43931</v>
      </c>
      <c r="C31" s="97" t="s">
        <v>115</v>
      </c>
      <c r="D31" s="97" t="s">
        <v>122</v>
      </c>
      <c r="E31" s="98" t="s">
        <v>113</v>
      </c>
      <c r="F31" s="97">
        <v>66</v>
      </c>
      <c r="G31" s="99">
        <v>1.99</v>
      </c>
      <c r="H31" s="100">
        <v>131.34</v>
      </c>
      <c r="J31">
        <v>43692</v>
      </c>
      <c r="K31" t="str">
        <v>East</v>
      </c>
      <c r="L31" t="str">
        <v>Jones</v>
      </c>
      <c r="M31" t="str">
        <v>Pencil</v>
      </c>
      <c r="N31">
        <v>35</v>
      </c>
      <c r="O31">
        <v>4.99</v>
      </c>
      <c r="P31">
        <v>174.65</v>
      </c>
      <c r="R31">
        <v>43862</v>
      </c>
      <c r="S31" t="str">
        <v>Central</v>
      </c>
      <c r="T31" t="str">
        <v>Smith</v>
      </c>
      <c r="U31" t="str">
        <v>Binder</v>
      </c>
      <c r="V31">
        <v>87</v>
      </c>
      <c r="W31">
        <v>15</v>
      </c>
      <c r="X31">
        <v>1305</v>
      </c>
    </row>
    <row r="32" spans="2:24" x14ac:dyDescent="0.25">
      <c r="B32" s="96">
        <v>43948</v>
      </c>
      <c r="C32" s="97" t="s">
        <v>32</v>
      </c>
      <c r="D32" s="97" t="s">
        <v>125</v>
      </c>
      <c r="E32" s="98" t="s">
        <v>120</v>
      </c>
      <c r="F32" s="97">
        <v>96</v>
      </c>
      <c r="G32" s="99">
        <v>4.99</v>
      </c>
      <c r="H32" s="100">
        <v>479.04</v>
      </c>
      <c r="J32">
        <v>43811</v>
      </c>
      <c r="K32" t="str">
        <v>Central</v>
      </c>
      <c r="L32" t="str">
        <v>Smith</v>
      </c>
      <c r="M32" t="str">
        <v>Pencil</v>
      </c>
      <c r="N32">
        <v>67</v>
      </c>
      <c r="O32">
        <v>1.29</v>
      </c>
      <c r="P32">
        <v>86.43</v>
      </c>
      <c r="R32">
        <v>43879</v>
      </c>
      <c r="S32" t="str">
        <v>East</v>
      </c>
      <c r="T32" t="str">
        <v>Jones</v>
      </c>
      <c r="U32" t="str">
        <v>Binder</v>
      </c>
      <c r="V32">
        <v>4</v>
      </c>
      <c r="W32">
        <v>4.99</v>
      </c>
      <c r="X32">
        <v>19.96</v>
      </c>
    </row>
    <row r="33" spans="2:24" x14ac:dyDescent="0.25">
      <c r="B33" s="96">
        <v>43965</v>
      </c>
      <c r="C33" s="97" t="s">
        <v>115</v>
      </c>
      <c r="D33" s="97" t="s">
        <v>119</v>
      </c>
      <c r="E33" s="98" t="s">
        <v>113</v>
      </c>
      <c r="F33" s="97">
        <v>53</v>
      </c>
      <c r="G33" s="99">
        <v>1.29</v>
      </c>
      <c r="H33" s="100">
        <v>68.37</v>
      </c>
      <c r="J33">
        <v>43931</v>
      </c>
      <c r="K33" t="str">
        <v>Central</v>
      </c>
      <c r="L33" t="str">
        <v>Andrews</v>
      </c>
      <c r="M33" t="str">
        <v>Pencil</v>
      </c>
      <c r="N33">
        <v>66</v>
      </c>
      <c r="O33">
        <v>1.99</v>
      </c>
      <c r="P33">
        <v>131.34</v>
      </c>
      <c r="R33">
        <v>43897</v>
      </c>
      <c r="S33" t="str">
        <v>West</v>
      </c>
      <c r="T33" t="str">
        <v>Sorvino</v>
      </c>
      <c r="U33" t="str">
        <v>Binder</v>
      </c>
      <c r="V33">
        <v>7</v>
      </c>
      <c r="W33">
        <v>19.989999999999998</v>
      </c>
      <c r="X33">
        <v>139.92999999999998</v>
      </c>
    </row>
    <row r="34" spans="2:24" x14ac:dyDescent="0.25">
      <c r="B34" s="96">
        <v>43982</v>
      </c>
      <c r="C34" s="97" t="s">
        <v>115</v>
      </c>
      <c r="D34" s="97" t="s">
        <v>119</v>
      </c>
      <c r="E34" s="98" t="s">
        <v>117</v>
      </c>
      <c r="F34" s="97">
        <v>80</v>
      </c>
      <c r="G34" s="99">
        <v>8.99</v>
      </c>
      <c r="H34" s="100">
        <v>719.2</v>
      </c>
      <c r="J34">
        <v>43965</v>
      </c>
      <c r="K34" t="str">
        <v>Central</v>
      </c>
      <c r="L34" t="str">
        <v>Gill</v>
      </c>
      <c r="M34" t="str">
        <v>Pencil</v>
      </c>
      <c r="N34">
        <v>53</v>
      </c>
      <c r="O34">
        <v>1.29</v>
      </c>
      <c r="P34">
        <v>68.37</v>
      </c>
      <c r="R34">
        <v>43982</v>
      </c>
      <c r="S34" t="str">
        <v>Central</v>
      </c>
      <c r="T34" t="str">
        <v>Gill</v>
      </c>
      <c r="U34" t="str">
        <v>Binder</v>
      </c>
      <c r="V34">
        <v>80</v>
      </c>
      <c r="W34">
        <v>8.99</v>
      </c>
      <c r="X34">
        <v>719.2</v>
      </c>
    </row>
    <row r="35" spans="2:24" x14ac:dyDescent="0.25">
      <c r="B35" s="96">
        <v>43999</v>
      </c>
      <c r="C35" s="97" t="s">
        <v>115</v>
      </c>
      <c r="D35" s="97" t="s">
        <v>116</v>
      </c>
      <c r="E35" s="98" t="s">
        <v>128</v>
      </c>
      <c r="F35" s="97">
        <v>5</v>
      </c>
      <c r="G35" s="99">
        <v>125</v>
      </c>
      <c r="H35" s="100">
        <v>625</v>
      </c>
      <c r="J35">
        <v>44084</v>
      </c>
      <c r="K35" t="str">
        <v>Central</v>
      </c>
      <c r="L35" t="str">
        <v>Gill</v>
      </c>
      <c r="M35" t="str">
        <v>Pencil</v>
      </c>
      <c r="N35">
        <v>7</v>
      </c>
      <c r="O35">
        <v>1.29</v>
      </c>
      <c r="P35">
        <v>9.0300000000000011</v>
      </c>
      <c r="R35">
        <v>44118</v>
      </c>
      <c r="S35" t="str">
        <v>West</v>
      </c>
      <c r="T35" t="str">
        <v>Thompson</v>
      </c>
      <c r="U35" t="str">
        <v>Binder</v>
      </c>
      <c r="V35">
        <v>57</v>
      </c>
      <c r="W35">
        <v>19.989999999999998</v>
      </c>
      <c r="X35">
        <v>1139.4299999999998</v>
      </c>
    </row>
    <row r="36" spans="2:24" x14ac:dyDescent="0.25">
      <c r="B36" s="96">
        <v>44016</v>
      </c>
      <c r="C36" s="97" t="s">
        <v>32</v>
      </c>
      <c r="D36" s="97" t="s">
        <v>112</v>
      </c>
      <c r="E36" s="98" t="s">
        <v>129</v>
      </c>
      <c r="F36" s="97">
        <v>62</v>
      </c>
      <c r="G36" s="99">
        <v>4.99</v>
      </c>
      <c r="H36" s="100">
        <v>309.38</v>
      </c>
      <c r="J36">
        <v>44135</v>
      </c>
      <c r="K36" t="str">
        <v>Central</v>
      </c>
      <c r="L36" t="str">
        <v>Andrews</v>
      </c>
      <c r="M36" t="str">
        <v>Pencil</v>
      </c>
      <c r="N36">
        <v>14</v>
      </c>
      <c r="O36">
        <v>1.29</v>
      </c>
      <c r="P36">
        <v>18.060000000000002</v>
      </c>
      <c r="R36">
        <v>44152</v>
      </c>
      <c r="S36" t="str">
        <v>Central</v>
      </c>
      <c r="T36" t="str">
        <v>Jardine</v>
      </c>
      <c r="U36" t="str">
        <v>Binder</v>
      </c>
      <c r="V36">
        <v>11</v>
      </c>
      <c r="W36">
        <v>4.99</v>
      </c>
      <c r="X36">
        <v>54.89</v>
      </c>
    </row>
    <row r="37" spans="2:24" x14ac:dyDescent="0.25">
      <c r="B37" s="96">
        <v>44033</v>
      </c>
      <c r="C37" s="97" t="s">
        <v>115</v>
      </c>
      <c r="D37" s="97" t="s">
        <v>124</v>
      </c>
      <c r="E37" s="98" t="s">
        <v>129</v>
      </c>
      <c r="F37" s="97">
        <v>55</v>
      </c>
      <c r="G37" s="99">
        <v>12.49</v>
      </c>
      <c r="H37" s="100">
        <v>686.95</v>
      </c>
      <c r="R37">
        <v>44169</v>
      </c>
      <c r="S37" t="str">
        <v>Central</v>
      </c>
      <c r="T37" t="str">
        <v>Jardine</v>
      </c>
      <c r="U37" t="str">
        <v>Binder</v>
      </c>
      <c r="V37">
        <v>94</v>
      </c>
      <c r="W37">
        <v>19.989999999999998</v>
      </c>
      <c r="X37">
        <v>1879.06</v>
      </c>
    </row>
    <row r="38" spans="2:24" x14ac:dyDescent="0.25">
      <c r="B38" s="96">
        <v>44050</v>
      </c>
      <c r="C38" s="97" t="s">
        <v>115</v>
      </c>
      <c r="D38" s="97" t="s">
        <v>116</v>
      </c>
      <c r="E38" s="98" t="s">
        <v>129</v>
      </c>
      <c r="F38" s="97">
        <v>42</v>
      </c>
      <c r="G38" s="99">
        <v>23.95</v>
      </c>
      <c r="H38" s="100">
        <v>1005.9</v>
      </c>
      <c r="J38" s="43" t="s">
        <v>120</v>
      </c>
      <c r="R38">
        <v>44186</v>
      </c>
      <c r="S38" t="str">
        <v>Central</v>
      </c>
      <c r="T38" t="str">
        <v>Andrews</v>
      </c>
      <c r="U38" t="str">
        <v>Binder</v>
      </c>
      <c r="V38">
        <v>28</v>
      </c>
      <c r="W38">
        <v>4.99</v>
      </c>
      <c r="X38">
        <v>139.72</v>
      </c>
    </row>
    <row r="39" spans="2:24" x14ac:dyDescent="0.25">
      <c r="B39" s="96">
        <v>44067</v>
      </c>
      <c r="C39" s="97" t="s">
        <v>33</v>
      </c>
      <c r="D39" s="97" t="s">
        <v>121</v>
      </c>
      <c r="E39" s="98" t="s">
        <v>128</v>
      </c>
      <c r="F39" s="97">
        <v>3</v>
      </c>
      <c r="G39" s="99">
        <v>275</v>
      </c>
      <c r="H39" s="100">
        <v>825</v>
      </c>
      <c r="J39" cm="1">
        <f t="array" ref="J39:P43">_xlfn._xlws.FILTER($B$3:$H$46,$E$3:$E$46="Pen")</f>
        <v>43522</v>
      </c>
      <c r="K39" t="str">
        <v>Central</v>
      </c>
      <c r="L39" t="str">
        <v>Gill</v>
      </c>
      <c r="M39" t="str">
        <v>Pen</v>
      </c>
      <c r="N39">
        <v>27</v>
      </c>
      <c r="O39">
        <v>19.989999999999998</v>
      </c>
      <c r="P39">
        <v>539.7299999999999</v>
      </c>
    </row>
    <row r="40" spans="2:24" x14ac:dyDescent="0.25">
      <c r="B40" s="96">
        <v>44084</v>
      </c>
      <c r="C40" s="97" t="s">
        <v>115</v>
      </c>
      <c r="D40" s="97" t="s">
        <v>119</v>
      </c>
      <c r="E40" s="98" t="s">
        <v>113</v>
      </c>
      <c r="F40" s="97">
        <v>7</v>
      </c>
      <c r="G40" s="99">
        <v>1.29</v>
      </c>
      <c r="H40" s="100">
        <v>9.0300000000000011</v>
      </c>
      <c r="J40">
        <v>43760</v>
      </c>
      <c r="K40" t="str">
        <v>East</v>
      </c>
      <c r="L40" t="str">
        <v>Jones</v>
      </c>
      <c r="M40" t="str">
        <v>Pen</v>
      </c>
      <c r="N40">
        <v>64</v>
      </c>
      <c r="O40">
        <v>8.99</v>
      </c>
      <c r="P40">
        <v>575.36</v>
      </c>
      <c r="R40" cm="1">
        <f t="array" ref="R40:X54">_xlfn._xlws.FILTER($B$3:$H$46,$E$3:$E$46="Binder")</f>
        <v>43488</v>
      </c>
      <c r="S40" t="str">
        <v>Central</v>
      </c>
      <c r="T40" t="str">
        <v>Kivell</v>
      </c>
      <c r="U40" t="str">
        <v>Binder</v>
      </c>
      <c r="V40">
        <v>50</v>
      </c>
      <c r="W40">
        <v>19.989999999999998</v>
      </c>
      <c r="X40">
        <v>999.49999999999989</v>
      </c>
    </row>
    <row r="41" spans="2:24" x14ac:dyDescent="0.25">
      <c r="B41" s="96">
        <v>44101</v>
      </c>
      <c r="C41" s="97" t="s">
        <v>33</v>
      </c>
      <c r="D41" s="97" t="s">
        <v>121</v>
      </c>
      <c r="E41" s="98" t="s">
        <v>120</v>
      </c>
      <c r="F41" s="97">
        <v>76</v>
      </c>
      <c r="G41" s="99">
        <v>1.99</v>
      </c>
      <c r="H41" s="100">
        <v>151.24</v>
      </c>
      <c r="J41">
        <v>43777</v>
      </c>
      <c r="K41" t="str">
        <v>East</v>
      </c>
      <c r="L41" t="str">
        <v>Parent</v>
      </c>
      <c r="M41" t="str">
        <v>Pen</v>
      </c>
      <c r="N41">
        <v>15</v>
      </c>
      <c r="O41">
        <v>19.989999999999998</v>
      </c>
      <c r="P41">
        <v>299.84999999999997</v>
      </c>
      <c r="R41">
        <v>43556</v>
      </c>
      <c r="S41" t="str">
        <v>East</v>
      </c>
      <c r="T41" t="str">
        <v>Jones</v>
      </c>
      <c r="U41" t="str">
        <v>Binder</v>
      </c>
      <c r="V41">
        <v>60</v>
      </c>
      <c r="W41">
        <v>4.99</v>
      </c>
      <c r="X41">
        <v>299.40000000000003</v>
      </c>
    </row>
    <row r="42" spans="2:24" x14ac:dyDescent="0.25">
      <c r="B42" s="96">
        <v>44118</v>
      </c>
      <c r="C42" s="97" t="s">
        <v>33</v>
      </c>
      <c r="D42" s="97" t="s">
        <v>123</v>
      </c>
      <c r="E42" s="98" t="s">
        <v>117</v>
      </c>
      <c r="F42" s="97">
        <v>57</v>
      </c>
      <c r="G42" s="99">
        <v>19.989999999999998</v>
      </c>
      <c r="H42" s="100">
        <v>1139.4299999999998</v>
      </c>
      <c r="J42">
        <v>43948</v>
      </c>
      <c r="K42" t="str">
        <v>East</v>
      </c>
      <c r="L42" t="str">
        <v>Howard</v>
      </c>
      <c r="M42" t="str">
        <v>Pen</v>
      </c>
      <c r="N42">
        <v>96</v>
      </c>
      <c r="O42">
        <v>4.99</v>
      </c>
      <c r="P42">
        <v>479.04</v>
      </c>
      <c r="R42">
        <v>43624</v>
      </c>
      <c r="S42" t="str">
        <v>East</v>
      </c>
      <c r="T42" t="str">
        <v>Jones</v>
      </c>
      <c r="U42" t="str">
        <v>Binder</v>
      </c>
      <c r="V42">
        <v>60</v>
      </c>
      <c r="W42">
        <v>8.99</v>
      </c>
      <c r="X42">
        <v>539.4</v>
      </c>
    </row>
    <row r="43" spans="2:24" x14ac:dyDescent="0.25">
      <c r="B43" s="96">
        <v>44135</v>
      </c>
      <c r="C43" s="97" t="s">
        <v>115</v>
      </c>
      <c r="D43" s="97" t="s">
        <v>122</v>
      </c>
      <c r="E43" s="98" t="s">
        <v>113</v>
      </c>
      <c r="F43" s="97">
        <v>14</v>
      </c>
      <c r="G43" s="99">
        <v>1.29</v>
      </c>
      <c r="H43" s="100">
        <v>18.060000000000002</v>
      </c>
      <c r="J43">
        <v>44101</v>
      </c>
      <c r="K43" t="str">
        <v>West</v>
      </c>
      <c r="L43" t="str">
        <v>Sorvino</v>
      </c>
      <c r="M43" t="str">
        <v>Pen</v>
      </c>
      <c r="N43">
        <v>76</v>
      </c>
      <c r="O43">
        <v>1.99</v>
      </c>
      <c r="P43">
        <v>151.24</v>
      </c>
      <c r="R43">
        <v>43658</v>
      </c>
      <c r="S43" t="str">
        <v>East</v>
      </c>
      <c r="T43" t="str">
        <v>Howard</v>
      </c>
      <c r="U43" t="str">
        <v>Binder</v>
      </c>
      <c r="V43">
        <v>29</v>
      </c>
      <c r="W43">
        <v>1.99</v>
      </c>
      <c r="X43">
        <v>57.71</v>
      </c>
    </row>
    <row r="44" spans="2:24" x14ac:dyDescent="0.25">
      <c r="B44" s="96">
        <v>44152</v>
      </c>
      <c r="C44" s="97" t="s">
        <v>115</v>
      </c>
      <c r="D44" s="97" t="s">
        <v>118</v>
      </c>
      <c r="E44" s="98" t="s">
        <v>117</v>
      </c>
      <c r="F44" s="97">
        <v>11</v>
      </c>
      <c r="G44" s="99">
        <v>4.99</v>
      </c>
      <c r="H44" s="100">
        <v>54.89</v>
      </c>
      <c r="R44">
        <v>43675</v>
      </c>
      <c r="S44" t="str">
        <v>East</v>
      </c>
      <c r="T44" t="str">
        <v>Parent</v>
      </c>
      <c r="U44" t="str">
        <v>Binder</v>
      </c>
      <c r="V44">
        <v>81</v>
      </c>
      <c r="W44">
        <v>19.989999999999998</v>
      </c>
      <c r="X44">
        <v>1619.1899999999998</v>
      </c>
    </row>
    <row r="45" spans="2:24" x14ac:dyDescent="0.25">
      <c r="B45" s="96">
        <v>44169</v>
      </c>
      <c r="C45" s="97" t="s">
        <v>115</v>
      </c>
      <c r="D45" s="97" t="s">
        <v>118</v>
      </c>
      <c r="E45" s="98" t="s">
        <v>117</v>
      </c>
      <c r="F45" s="97">
        <v>94</v>
      </c>
      <c r="G45" s="99">
        <v>19.989999999999998</v>
      </c>
      <c r="H45" s="100">
        <v>1879.06</v>
      </c>
      <c r="R45">
        <v>43743</v>
      </c>
      <c r="S45" t="str">
        <v>Central</v>
      </c>
      <c r="T45" t="str">
        <v>Morgan</v>
      </c>
      <c r="U45" t="str">
        <v>Binder</v>
      </c>
      <c r="V45">
        <v>28</v>
      </c>
      <c r="W45">
        <v>8.99</v>
      </c>
      <c r="X45">
        <v>251.72</v>
      </c>
    </row>
    <row r="46" spans="2:24" x14ac:dyDescent="0.25">
      <c r="B46" s="101">
        <v>44186</v>
      </c>
      <c r="C46" s="102" t="s">
        <v>115</v>
      </c>
      <c r="D46" s="102" t="s">
        <v>122</v>
      </c>
      <c r="E46" s="103" t="s">
        <v>117</v>
      </c>
      <c r="F46" s="102">
        <v>28</v>
      </c>
      <c r="G46" s="104">
        <v>4.99</v>
      </c>
      <c r="H46" s="105">
        <v>139.72</v>
      </c>
      <c r="J46" cm="1">
        <f t="array" ref="J46:P48">_xlfn._xlws.FILTER($B$3:$H$46,$E$3:$E$46="Desk")</f>
        <v>43709</v>
      </c>
      <c r="K46" t="str">
        <v>Central</v>
      </c>
      <c r="L46" t="str">
        <v>Smith</v>
      </c>
      <c r="M46" t="str">
        <v>Desk</v>
      </c>
      <c r="N46">
        <v>2</v>
      </c>
      <c r="O46">
        <v>125</v>
      </c>
      <c r="P46">
        <v>250</v>
      </c>
      <c r="R46">
        <v>43845</v>
      </c>
      <c r="S46" t="str">
        <v>Central</v>
      </c>
      <c r="T46" t="str">
        <v>Gill</v>
      </c>
      <c r="U46" t="str">
        <v>Binder</v>
      </c>
      <c r="V46">
        <v>46</v>
      </c>
      <c r="W46">
        <v>8.99</v>
      </c>
      <c r="X46">
        <v>413.54</v>
      </c>
    </row>
    <row r="47" spans="2:24" x14ac:dyDescent="0.25">
      <c r="J47">
        <v>43999</v>
      </c>
      <c r="K47" t="str">
        <v>Central</v>
      </c>
      <c r="L47" t="str">
        <v>Kivell</v>
      </c>
      <c r="M47" t="str">
        <v>Desk</v>
      </c>
      <c r="N47">
        <v>5</v>
      </c>
      <c r="O47">
        <v>125</v>
      </c>
      <c r="P47">
        <v>625</v>
      </c>
      <c r="R47">
        <v>43862</v>
      </c>
      <c r="S47" t="str">
        <v>Central</v>
      </c>
      <c r="T47" t="str">
        <v>Smith</v>
      </c>
      <c r="U47" t="str">
        <v>Binder</v>
      </c>
      <c r="V47">
        <v>87</v>
      </c>
      <c r="W47">
        <v>15</v>
      </c>
      <c r="X47">
        <v>1305</v>
      </c>
    </row>
    <row r="48" spans="2:24" hidden="1" x14ac:dyDescent="0.25">
      <c r="J48">
        <v>44067</v>
      </c>
      <c r="K48" t="str">
        <v>West</v>
      </c>
      <c r="L48" t="str">
        <v>Sorvino</v>
      </c>
      <c r="M48" t="str">
        <v>Desk</v>
      </c>
      <c r="N48">
        <v>3</v>
      </c>
      <c r="O48">
        <v>275</v>
      </c>
      <c r="P48">
        <v>825</v>
      </c>
      <c r="R48">
        <v>43879</v>
      </c>
      <c r="S48" t="str">
        <v>East</v>
      </c>
      <c r="T48" t="str">
        <v>Jones</v>
      </c>
      <c r="U48" t="str">
        <v>Binder</v>
      </c>
      <c r="V48">
        <v>4</v>
      </c>
      <c r="W48">
        <v>4.99</v>
      </c>
      <c r="X48">
        <v>19.96</v>
      </c>
    </row>
    <row r="49" spans="10:24" hidden="1" x14ac:dyDescent="0.25">
      <c r="R49">
        <v>43897</v>
      </c>
      <c r="S49" t="str">
        <v>West</v>
      </c>
      <c r="T49" t="str">
        <v>Sorvino</v>
      </c>
      <c r="U49" t="str">
        <v>Binder</v>
      </c>
      <c r="V49">
        <v>7</v>
      </c>
      <c r="W49">
        <v>19.989999999999998</v>
      </c>
      <c r="X49">
        <v>139.92999999999998</v>
      </c>
    </row>
    <row r="50" spans="10:24" hidden="1" x14ac:dyDescent="0.25">
      <c r="R50">
        <v>43982</v>
      </c>
      <c r="S50" t="str">
        <v>Central</v>
      </c>
      <c r="T50" t="str">
        <v>Gill</v>
      </c>
      <c r="U50" t="str">
        <v>Binder</v>
      </c>
      <c r="V50">
        <v>80</v>
      </c>
      <c r="W50">
        <v>8.99</v>
      </c>
      <c r="X50">
        <v>719.2</v>
      </c>
    </row>
    <row r="51" spans="10:24" hidden="1" x14ac:dyDescent="0.25">
      <c r="J51" t="s">
        <v>20</v>
      </c>
      <c r="R51">
        <v>44118</v>
      </c>
      <c r="S51" t="str">
        <v>West</v>
      </c>
      <c r="T51" t="str">
        <v>Thompson</v>
      </c>
      <c r="U51" t="str">
        <v>Binder</v>
      </c>
      <c r="V51">
        <v>57</v>
      </c>
      <c r="W51">
        <v>19.989999999999998</v>
      </c>
      <c r="X51">
        <v>1139.4299999999998</v>
      </c>
    </row>
    <row r="52" spans="10:24" hidden="1" x14ac:dyDescent="0.25">
      <c r="J52" t="s">
        <v>114</v>
      </c>
      <c r="R52">
        <v>44152</v>
      </c>
      <c r="S52" t="str">
        <v>Central</v>
      </c>
      <c r="T52" t="str">
        <v>Jardine</v>
      </c>
      <c r="U52" t="str">
        <v>Binder</v>
      </c>
      <c r="V52">
        <v>11</v>
      </c>
      <c r="W52">
        <v>4.99</v>
      </c>
      <c r="X52">
        <v>54.89</v>
      </c>
    </row>
    <row r="53" spans="10:24" hidden="1" x14ac:dyDescent="0.25">
      <c r="R53">
        <v>44169</v>
      </c>
      <c r="S53" t="str">
        <v>Central</v>
      </c>
      <c r="T53" t="str">
        <v>Jardine</v>
      </c>
      <c r="U53" t="str">
        <v>Binder</v>
      </c>
      <c r="V53">
        <v>94</v>
      </c>
      <c r="W53">
        <v>19.989999999999998</v>
      </c>
      <c r="X53">
        <v>1879.06</v>
      </c>
    </row>
    <row r="54" spans="10:24" hidden="1" x14ac:dyDescent="0.25">
      <c r="J54" s="92" t="s">
        <v>105</v>
      </c>
      <c r="K54" s="93" t="s">
        <v>106</v>
      </c>
      <c r="L54" s="93" t="s">
        <v>107</v>
      </c>
      <c r="M54" s="94" t="s">
        <v>108</v>
      </c>
      <c r="N54" s="94" t="s">
        <v>109</v>
      </c>
      <c r="O54" s="94" t="s">
        <v>110</v>
      </c>
      <c r="P54" s="95" t="s">
        <v>111</v>
      </c>
      <c r="R54">
        <v>44186</v>
      </c>
      <c r="S54" t="str">
        <v>Central</v>
      </c>
      <c r="T54" t="str">
        <v>Andrews</v>
      </c>
      <c r="U54" t="str">
        <v>Binder</v>
      </c>
      <c r="V54">
        <v>28</v>
      </c>
      <c r="W54">
        <v>4.99</v>
      </c>
      <c r="X54">
        <v>139.72</v>
      </c>
    </row>
    <row r="55" spans="10:24" hidden="1" x14ac:dyDescent="0.25">
      <c r="J55" cm="1">
        <f t="array" ref="J55:P67">_xlfn._xlws.FILTER(B3:H46,E3:E46="Pencil")</f>
        <v>43471</v>
      </c>
      <c r="K55" t="str">
        <v>East</v>
      </c>
      <c r="L55" t="str">
        <v>Jones</v>
      </c>
      <c r="M55" t="str">
        <v>Pencil</v>
      </c>
      <c r="N55">
        <v>95</v>
      </c>
      <c r="O55">
        <v>1.99</v>
      </c>
      <c r="P55">
        <v>189.05</v>
      </c>
    </row>
    <row r="56" spans="10:24" hidden="1" x14ac:dyDescent="0.25">
      <c r="J56">
        <v>43505</v>
      </c>
      <c r="K56" t="str">
        <v>Central</v>
      </c>
      <c r="L56" t="str">
        <v>Jardine</v>
      </c>
      <c r="M56" t="str">
        <v>Pencil</v>
      </c>
      <c r="N56">
        <v>36</v>
      </c>
      <c r="O56">
        <v>4.99</v>
      </c>
      <c r="P56">
        <v>179.64000000000001</v>
      </c>
    </row>
    <row r="57" spans="10:24" hidden="1" x14ac:dyDescent="0.25">
      <c r="J57">
        <v>43539</v>
      </c>
      <c r="K57" t="str">
        <v>West</v>
      </c>
      <c r="L57" t="str">
        <v>Sorvino</v>
      </c>
      <c r="M57" t="str">
        <v>Pencil</v>
      </c>
      <c r="N57">
        <v>56</v>
      </c>
      <c r="O57">
        <v>2.99</v>
      </c>
      <c r="P57">
        <v>167.44</v>
      </c>
    </row>
    <row r="58" spans="10:24" hidden="1" x14ac:dyDescent="0.25">
      <c r="J58">
        <v>43573</v>
      </c>
      <c r="K58" t="str">
        <v>Central</v>
      </c>
      <c r="L58" t="str">
        <v>Andrews</v>
      </c>
      <c r="M58" t="str">
        <v>Pencil</v>
      </c>
      <c r="N58">
        <v>75</v>
      </c>
      <c r="O58">
        <v>1.99</v>
      </c>
      <c r="P58">
        <v>149.25</v>
      </c>
    </row>
    <row r="59" spans="10:24" hidden="1" x14ac:dyDescent="0.25">
      <c r="J59">
        <v>43590</v>
      </c>
      <c r="K59" t="str">
        <v>Central</v>
      </c>
      <c r="L59" t="str">
        <v>Jardine</v>
      </c>
      <c r="M59" t="str">
        <v>Pencil</v>
      </c>
      <c r="N59">
        <v>90</v>
      </c>
      <c r="O59">
        <v>4.99</v>
      </c>
      <c r="P59">
        <v>449.1</v>
      </c>
    </row>
    <row r="60" spans="10:24" hidden="1" x14ac:dyDescent="0.25">
      <c r="J60">
        <v>43607</v>
      </c>
      <c r="K60" t="str">
        <v>West</v>
      </c>
      <c r="L60" t="str">
        <v>Thompson</v>
      </c>
      <c r="M60" t="str">
        <v>Pencil</v>
      </c>
      <c r="N60">
        <v>32</v>
      </c>
      <c r="O60">
        <v>1.99</v>
      </c>
      <c r="P60">
        <v>63.68</v>
      </c>
    </row>
    <row r="61" spans="10:24" hidden="1" x14ac:dyDescent="0.25">
      <c r="J61">
        <v>43641</v>
      </c>
      <c r="K61" t="str">
        <v>Central</v>
      </c>
      <c r="L61" t="str">
        <v>Morgan</v>
      </c>
      <c r="M61" t="str">
        <v>Pencil</v>
      </c>
      <c r="N61">
        <v>90</v>
      </c>
      <c r="O61">
        <v>4.99</v>
      </c>
      <c r="P61">
        <v>449.1</v>
      </c>
    </row>
    <row r="62" spans="10:24" hidden="1" x14ac:dyDescent="0.25">
      <c r="J62">
        <v>43692</v>
      </c>
      <c r="K62" t="str">
        <v>East</v>
      </c>
      <c r="L62" t="str">
        <v>Jones</v>
      </c>
      <c r="M62" t="str">
        <v>Pencil</v>
      </c>
      <c r="N62">
        <v>35</v>
      </c>
      <c r="O62">
        <v>4.99</v>
      </c>
      <c r="P62">
        <v>174.65</v>
      </c>
    </row>
    <row r="63" spans="10:24" hidden="1" x14ac:dyDescent="0.25">
      <c r="J63">
        <v>43811</v>
      </c>
      <c r="K63" t="str">
        <v>Central</v>
      </c>
      <c r="L63" t="str">
        <v>Smith</v>
      </c>
      <c r="M63" t="str">
        <v>Pencil</v>
      </c>
      <c r="N63">
        <v>67</v>
      </c>
      <c r="O63">
        <v>1.29</v>
      </c>
      <c r="P63">
        <v>86.43</v>
      </c>
    </row>
    <row r="64" spans="10:24" hidden="1" x14ac:dyDescent="0.25">
      <c r="J64">
        <v>43931</v>
      </c>
      <c r="K64" t="str">
        <v>Central</v>
      </c>
      <c r="L64" t="str">
        <v>Andrews</v>
      </c>
      <c r="M64" t="str">
        <v>Pencil</v>
      </c>
      <c r="N64">
        <v>66</v>
      </c>
      <c r="O64">
        <v>1.99</v>
      </c>
      <c r="P64">
        <v>131.34</v>
      </c>
    </row>
    <row r="65" spans="2:16" hidden="1" x14ac:dyDescent="0.25">
      <c r="J65">
        <v>43965</v>
      </c>
      <c r="K65" t="str">
        <v>Central</v>
      </c>
      <c r="L65" t="str">
        <v>Gill</v>
      </c>
      <c r="M65" t="str">
        <v>Pencil</v>
      </c>
      <c r="N65">
        <v>53</v>
      </c>
      <c r="O65">
        <v>1.29</v>
      </c>
      <c r="P65">
        <v>68.37</v>
      </c>
    </row>
    <row r="66" spans="2:16" hidden="1" x14ac:dyDescent="0.25">
      <c r="J66">
        <v>44084</v>
      </c>
      <c r="K66" t="str">
        <v>Central</v>
      </c>
      <c r="L66" t="str">
        <v>Gill</v>
      </c>
      <c r="M66" t="str">
        <v>Pencil</v>
      </c>
      <c r="N66">
        <v>7</v>
      </c>
      <c r="O66">
        <v>1.29</v>
      </c>
      <c r="P66">
        <v>9.0300000000000011</v>
      </c>
    </row>
    <row r="67" spans="2:16" hidden="1" x14ac:dyDescent="0.25">
      <c r="J67">
        <v>44135</v>
      </c>
      <c r="K67" t="str">
        <v>Central</v>
      </c>
      <c r="L67" t="str">
        <v>Andrews</v>
      </c>
      <c r="M67" t="str">
        <v>Pencil</v>
      </c>
      <c r="N67">
        <v>14</v>
      </c>
      <c r="O67">
        <v>1.29</v>
      </c>
      <c r="P67">
        <v>18.060000000000002</v>
      </c>
    </row>
    <row r="68" spans="2:16" hidden="1" x14ac:dyDescent="0.25"/>
    <row r="69" spans="2:16" hidden="1" x14ac:dyDescent="0.25"/>
    <row r="70" spans="2:16" hidden="1" x14ac:dyDescent="0.25"/>
    <row r="71" spans="2:16" hidden="1" x14ac:dyDescent="0.25"/>
    <row r="78" spans="2:16" hidden="1" x14ac:dyDescent="0.25"/>
    <row r="79" spans="2:16" hidden="1" x14ac:dyDescent="0.25">
      <c r="B79" s="63" t="s">
        <v>130</v>
      </c>
    </row>
    <row r="80" spans="2:16" hidden="1" x14ac:dyDescent="0.25"/>
  </sheetData>
  <dataValidations count="1">
    <dataValidation type="list" allowBlank="1" showInputMessage="1" showErrorMessage="1" sqref="J38" xr:uid="{14E59FCF-0E5C-4462-99CE-5A13FE3ECDD8}">
      <formula1>$E$3:$E$46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89E5-27B5-4036-A7CF-AFE80F71F9DD}">
  <dimension ref="A1:F15"/>
  <sheetViews>
    <sheetView workbookViewId="0">
      <selection activeCell="J20" sqref="J20"/>
    </sheetView>
  </sheetViews>
  <sheetFormatPr defaultRowHeight="15" outlineLevelRow="1" x14ac:dyDescent="0.25"/>
  <cols>
    <col min="1" max="1" width="2.85546875" customWidth="1"/>
  </cols>
  <sheetData>
    <row r="1" spans="1:6" x14ac:dyDescent="0.25">
      <c r="A1" s="43" t="s">
        <v>131</v>
      </c>
    </row>
    <row r="3" spans="1:6" x14ac:dyDescent="0.25">
      <c r="B3" s="42" t="s">
        <v>29</v>
      </c>
      <c r="C3" s="66" t="s">
        <v>30</v>
      </c>
      <c r="D3" s="66" t="s">
        <v>31</v>
      </c>
      <c r="E3" s="66" t="s">
        <v>32</v>
      </c>
      <c r="F3" s="66" t="s">
        <v>33</v>
      </c>
    </row>
    <row r="4" spans="1:6" x14ac:dyDescent="0.25">
      <c r="B4" t="s">
        <v>34</v>
      </c>
      <c r="C4">
        <v>777</v>
      </c>
      <c r="D4">
        <v>893</v>
      </c>
      <c r="E4">
        <v>647</v>
      </c>
      <c r="F4">
        <v>635</v>
      </c>
    </row>
    <row r="5" spans="1:6" x14ac:dyDescent="0.25">
      <c r="B5" t="s">
        <v>35</v>
      </c>
      <c r="C5">
        <v>470</v>
      </c>
      <c r="D5">
        <v>752</v>
      </c>
      <c r="E5">
        <v>425</v>
      </c>
      <c r="F5">
        <v>754</v>
      </c>
    </row>
    <row r="6" spans="1:6" x14ac:dyDescent="0.25">
      <c r="B6" t="s">
        <v>36</v>
      </c>
      <c r="C6">
        <v>677</v>
      </c>
      <c r="D6">
        <v>895</v>
      </c>
      <c r="E6">
        <v>552</v>
      </c>
      <c r="F6">
        <v>993</v>
      </c>
    </row>
    <row r="7" spans="1:6" x14ac:dyDescent="0.25">
      <c r="B7" t="s">
        <v>37</v>
      </c>
      <c r="C7">
        <v>838</v>
      </c>
      <c r="D7">
        <v>461</v>
      </c>
      <c r="E7">
        <v>646</v>
      </c>
      <c r="F7">
        <v>873</v>
      </c>
    </row>
    <row r="10" spans="1:6" x14ac:dyDescent="0.25">
      <c r="B10" t="s">
        <v>132</v>
      </c>
    </row>
    <row r="11" spans="1:6" x14ac:dyDescent="0.25">
      <c r="B11" t="s">
        <v>133</v>
      </c>
    </row>
    <row r="12" spans="1:6" ht="15.75" thickBot="1" x14ac:dyDescent="0.3"/>
    <row r="13" spans="1:6" ht="15.75" thickBot="1" x14ac:dyDescent="0.3">
      <c r="B13" t="s">
        <v>134</v>
      </c>
      <c r="F13" s="106"/>
    </row>
    <row r="14" spans="1:6" hidden="1" outlineLevel="1" x14ac:dyDescent="0.25">
      <c r="B14" t="s">
        <v>134</v>
      </c>
      <c r="F14">
        <f>SUM(B5:F5 D4:D7)</f>
        <v>752</v>
      </c>
    </row>
    <row r="15" spans="1:6" collapsed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2B1F-9C44-4722-824B-1DEF49B7B00E}">
  <dimension ref="A1:F15"/>
  <sheetViews>
    <sheetView workbookViewId="0">
      <selection activeCell="B1" sqref="B1"/>
    </sheetView>
  </sheetViews>
  <sheetFormatPr defaultRowHeight="15" outlineLevelRow="1" x14ac:dyDescent="0.25"/>
  <cols>
    <col min="1" max="1" width="2.85546875" customWidth="1"/>
  </cols>
  <sheetData>
    <row r="1" spans="1:6" x14ac:dyDescent="0.25">
      <c r="A1" s="43" t="s">
        <v>135</v>
      </c>
    </row>
    <row r="3" spans="1:6" x14ac:dyDescent="0.25">
      <c r="B3" s="42" t="s">
        <v>29</v>
      </c>
      <c r="C3" s="66" t="s">
        <v>30</v>
      </c>
      <c r="D3" s="66" t="s">
        <v>31</v>
      </c>
      <c r="E3" s="66" t="s">
        <v>32</v>
      </c>
      <c r="F3" s="66" t="s">
        <v>33</v>
      </c>
    </row>
    <row r="4" spans="1:6" x14ac:dyDescent="0.25">
      <c r="B4" t="s">
        <v>34</v>
      </c>
      <c r="C4">
        <v>777</v>
      </c>
      <c r="D4">
        <v>893</v>
      </c>
      <c r="E4">
        <v>647</v>
      </c>
      <c r="F4">
        <v>635</v>
      </c>
    </row>
    <row r="5" spans="1:6" x14ac:dyDescent="0.25">
      <c r="B5" t="s">
        <v>35</v>
      </c>
      <c r="C5">
        <v>470</v>
      </c>
      <c r="D5">
        <v>752</v>
      </c>
      <c r="E5">
        <v>425</v>
      </c>
      <c r="F5">
        <v>754</v>
      </c>
    </row>
    <row r="6" spans="1:6" x14ac:dyDescent="0.25">
      <c r="B6" t="s">
        <v>36</v>
      </c>
      <c r="C6">
        <v>677</v>
      </c>
      <c r="D6">
        <v>895</v>
      </c>
      <c r="E6">
        <v>552</v>
      </c>
      <c r="F6">
        <v>993</v>
      </c>
    </row>
    <row r="7" spans="1:6" x14ac:dyDescent="0.25">
      <c r="B7" t="s">
        <v>37</v>
      </c>
      <c r="C7">
        <v>838</v>
      </c>
      <c r="D7">
        <v>461</v>
      </c>
      <c r="E7">
        <v>646</v>
      </c>
      <c r="F7">
        <v>873</v>
      </c>
    </row>
    <row r="10" spans="1:6" x14ac:dyDescent="0.25">
      <c r="B10" t="s">
        <v>132</v>
      </c>
    </row>
    <row r="11" spans="1:6" x14ac:dyDescent="0.25">
      <c r="B11" t="s">
        <v>136</v>
      </c>
    </row>
    <row r="12" spans="1:6" ht="15.75" thickBot="1" x14ac:dyDescent="0.3"/>
    <row r="13" spans="1:6" ht="15.75" thickBot="1" x14ac:dyDescent="0.3">
      <c r="B13" t="s">
        <v>137</v>
      </c>
      <c r="F13" s="106"/>
    </row>
    <row r="14" spans="1:6" hidden="1" outlineLevel="1" x14ac:dyDescent="0.25">
      <c r="B14" t="s">
        <v>137</v>
      </c>
      <c r="F14">
        <f>SUM( (C4:F4,C6:F6) D4:D7)</f>
        <v>1788</v>
      </c>
    </row>
    <row r="15" spans="1:6" collapsed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DFF9-7F1A-4C3A-8B7B-F637BD0ABFDE}">
  <dimension ref="A1:E39"/>
  <sheetViews>
    <sheetView workbookViewId="0">
      <selection activeCell="D12" sqref="D12"/>
    </sheetView>
  </sheetViews>
  <sheetFormatPr defaultRowHeight="15" outlineLevelRow="1" x14ac:dyDescent="0.25"/>
  <cols>
    <col min="1" max="1" width="4.28515625" customWidth="1"/>
    <col min="2" max="2" width="10.5703125" customWidth="1"/>
    <col min="3" max="3" width="14.5703125" customWidth="1"/>
  </cols>
  <sheetData>
    <row r="1" spans="1:5" x14ac:dyDescent="0.25">
      <c r="A1" s="43" t="s">
        <v>138</v>
      </c>
    </row>
    <row r="3" spans="1:5" ht="31.5" customHeight="1" x14ac:dyDescent="0.25">
      <c r="B3" s="60" t="s">
        <v>139</v>
      </c>
      <c r="C3" s="165" t="s">
        <v>140</v>
      </c>
      <c r="D3" s="165" t="s">
        <v>380</v>
      </c>
    </row>
    <row r="4" spans="1:5" x14ac:dyDescent="0.25">
      <c r="B4" t="s">
        <v>49</v>
      </c>
      <c r="C4" s="64" t="str" cm="1">
        <f t="array" ref="C4:C9">_xlfn.UNIQUE($B$4:$B$16)</f>
        <v>A</v>
      </c>
      <c r="D4" s="64" t="str" cm="1">
        <f t="array" ref="D4:D9">_xlfn.UNIQUE($B$4:$B$16)</f>
        <v>A</v>
      </c>
      <c r="E4" t="s">
        <v>141</v>
      </c>
    </row>
    <row r="5" spans="1:5" x14ac:dyDescent="0.25">
      <c r="B5" t="s">
        <v>49</v>
      </c>
      <c r="C5" s="64" t="str">
        <v>B</v>
      </c>
      <c r="D5" s="64" t="str">
        <v>B</v>
      </c>
    </row>
    <row r="6" spans="1:5" x14ac:dyDescent="0.25">
      <c r="B6" t="s">
        <v>49</v>
      </c>
      <c r="C6" s="64" t="str">
        <v>C</v>
      </c>
      <c r="D6" s="64" t="str">
        <v>C</v>
      </c>
      <c r="E6" s="63" t="s">
        <v>142</v>
      </c>
    </row>
    <row r="7" spans="1:5" x14ac:dyDescent="0.25">
      <c r="B7" t="s">
        <v>64</v>
      </c>
      <c r="C7" s="64" t="str">
        <v>D</v>
      </c>
      <c r="D7" s="64" t="str">
        <v>D</v>
      </c>
    </row>
    <row r="8" spans="1:5" x14ac:dyDescent="0.25">
      <c r="B8" t="s">
        <v>64</v>
      </c>
      <c r="C8" s="64" t="str">
        <v>E</v>
      </c>
      <c r="D8" s="64" t="str">
        <v>E</v>
      </c>
    </row>
    <row r="9" spans="1:5" x14ac:dyDescent="0.25">
      <c r="B9" t="s">
        <v>64</v>
      </c>
      <c r="C9" s="64" t="str">
        <v>F</v>
      </c>
      <c r="D9" s="64" t="str">
        <v>F</v>
      </c>
    </row>
    <row r="10" spans="1:5" x14ac:dyDescent="0.25">
      <c r="B10" t="s">
        <v>66</v>
      </c>
      <c r="C10" s="64"/>
      <c r="D10" s="64"/>
    </row>
    <row r="11" spans="1:5" x14ac:dyDescent="0.25">
      <c r="B11" t="s">
        <v>66</v>
      </c>
      <c r="C11" s="64" t="str" cm="1">
        <f t="array" ref="C11:C16">_xlfn.UNIQUE($B$4:$B$16)</f>
        <v>A</v>
      </c>
      <c r="D11" s="64" t="str" cm="1">
        <f t="array" ref="D11:D16">_xlfn.UNIQUE(B4:B16)</f>
        <v>A</v>
      </c>
    </row>
    <row r="12" spans="1:5" x14ac:dyDescent="0.25">
      <c r="B12" t="s">
        <v>69</v>
      </c>
      <c r="C12" s="64" t="str">
        <v>B</v>
      </c>
      <c r="D12" s="64" t="str">
        <v>B</v>
      </c>
    </row>
    <row r="13" spans="1:5" x14ac:dyDescent="0.25">
      <c r="B13" t="s">
        <v>69</v>
      </c>
      <c r="C13" s="64" t="str">
        <v>C</v>
      </c>
      <c r="D13" s="64" t="str">
        <v>C</v>
      </c>
    </row>
    <row r="14" spans="1:5" x14ac:dyDescent="0.25">
      <c r="B14" t="s">
        <v>69</v>
      </c>
      <c r="C14" s="64" t="str">
        <v>D</v>
      </c>
      <c r="D14" s="64" t="str">
        <v>D</v>
      </c>
    </row>
    <row r="15" spans="1:5" x14ac:dyDescent="0.25">
      <c r="B15" t="s">
        <v>143</v>
      </c>
      <c r="C15" s="64" t="str">
        <v>E</v>
      </c>
      <c r="D15" s="64" t="str">
        <v>E</v>
      </c>
    </row>
    <row r="16" spans="1:5" x14ac:dyDescent="0.25">
      <c r="B16" t="s">
        <v>72</v>
      </c>
      <c r="C16" s="64" t="str">
        <v>F</v>
      </c>
      <c r="D16" s="64" t="str">
        <v>F</v>
      </c>
    </row>
    <row r="23" spans="2:3" hidden="1" outlineLevel="1" x14ac:dyDescent="0.25"/>
    <row r="24" spans="2:3" hidden="1" outlineLevel="1" x14ac:dyDescent="0.25">
      <c r="B24" s="60" t="s">
        <v>139</v>
      </c>
      <c r="C24" s="60" t="s">
        <v>140</v>
      </c>
    </row>
    <row r="25" spans="2:3" hidden="1" outlineLevel="1" x14ac:dyDescent="0.25">
      <c r="B25" t="s">
        <v>49</v>
      </c>
      <c r="C25" s="64" t="str" cm="1">
        <f t="array" ref="C25:C30">_xlfn.UNIQUE(B25:B37)</f>
        <v>A</v>
      </c>
    </row>
    <row r="26" spans="2:3" hidden="1" outlineLevel="1" x14ac:dyDescent="0.25">
      <c r="B26" t="s">
        <v>49</v>
      </c>
      <c r="C26" s="64" t="str">
        <v>B</v>
      </c>
    </row>
    <row r="27" spans="2:3" hidden="1" outlineLevel="1" x14ac:dyDescent="0.25">
      <c r="B27" t="s">
        <v>49</v>
      </c>
      <c r="C27" s="64" t="str">
        <v>C</v>
      </c>
    </row>
    <row r="28" spans="2:3" hidden="1" outlineLevel="1" x14ac:dyDescent="0.25">
      <c r="B28" t="s">
        <v>64</v>
      </c>
      <c r="C28" s="64" t="str">
        <v>D</v>
      </c>
    </row>
    <row r="29" spans="2:3" hidden="1" outlineLevel="1" x14ac:dyDescent="0.25">
      <c r="B29" t="s">
        <v>64</v>
      </c>
      <c r="C29" s="64" t="str">
        <v>E</v>
      </c>
    </row>
    <row r="30" spans="2:3" hidden="1" outlineLevel="1" x14ac:dyDescent="0.25">
      <c r="B30" t="s">
        <v>64</v>
      </c>
      <c r="C30" s="64" t="str">
        <v>F</v>
      </c>
    </row>
    <row r="31" spans="2:3" hidden="1" outlineLevel="1" x14ac:dyDescent="0.25">
      <c r="B31" t="s">
        <v>66</v>
      </c>
      <c r="C31" s="64"/>
    </row>
    <row r="32" spans="2:3" hidden="1" outlineLevel="1" x14ac:dyDescent="0.25">
      <c r="B32" t="s">
        <v>66</v>
      </c>
      <c r="C32" s="64"/>
    </row>
    <row r="33" spans="2:3" hidden="1" outlineLevel="1" x14ac:dyDescent="0.25">
      <c r="B33" t="s">
        <v>69</v>
      </c>
      <c r="C33" s="64"/>
    </row>
    <row r="34" spans="2:3" hidden="1" outlineLevel="1" x14ac:dyDescent="0.25">
      <c r="B34" t="s">
        <v>69</v>
      </c>
      <c r="C34" s="64"/>
    </row>
    <row r="35" spans="2:3" hidden="1" outlineLevel="1" x14ac:dyDescent="0.25">
      <c r="B35" t="s">
        <v>69</v>
      </c>
      <c r="C35" s="64"/>
    </row>
    <row r="36" spans="2:3" hidden="1" outlineLevel="1" x14ac:dyDescent="0.25">
      <c r="B36" t="s">
        <v>143</v>
      </c>
      <c r="C36" s="64"/>
    </row>
    <row r="37" spans="2:3" hidden="1" outlineLevel="1" x14ac:dyDescent="0.25">
      <c r="B37" t="s">
        <v>72</v>
      </c>
      <c r="C37" s="64"/>
    </row>
    <row r="38" spans="2:3" hidden="1" outlineLevel="1" x14ac:dyDescent="0.25"/>
    <row r="39" spans="2:3" collapsed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3A3B-E218-49D0-8887-4F19D6FD5901}">
  <dimension ref="A1:E40"/>
  <sheetViews>
    <sheetView workbookViewId="0">
      <selection activeCell="E10" sqref="E10"/>
    </sheetView>
  </sheetViews>
  <sheetFormatPr defaultRowHeight="15" outlineLevelRow="1" x14ac:dyDescent="0.25"/>
  <cols>
    <col min="1" max="1" width="4.28515625" customWidth="1"/>
    <col min="3" max="3" width="23.42578125" customWidth="1"/>
  </cols>
  <sheetData>
    <row r="1" spans="1:5" x14ac:dyDescent="0.25">
      <c r="A1" s="43" t="s">
        <v>138</v>
      </c>
    </row>
    <row r="3" spans="1:5" x14ac:dyDescent="0.25">
      <c r="B3" s="60" t="s">
        <v>139</v>
      </c>
      <c r="C3" s="60" t="s">
        <v>140</v>
      </c>
    </row>
    <row r="4" spans="1:5" x14ac:dyDescent="0.25">
      <c r="B4" t="s">
        <v>49</v>
      </c>
      <c r="C4" s="64" t="str" cm="1">
        <f t="array" ref="C4:C9">_xlfn.UNIQUE($B$4:$B$16)</f>
        <v>A</v>
      </c>
      <c r="E4" t="s">
        <v>141</v>
      </c>
    </row>
    <row r="5" spans="1:5" x14ac:dyDescent="0.25">
      <c r="B5" t="s">
        <v>49</v>
      </c>
      <c r="C5" s="64" t="str">
        <v>B</v>
      </c>
    </row>
    <row r="6" spans="1:5" x14ac:dyDescent="0.25">
      <c r="B6" t="s">
        <v>49</v>
      </c>
      <c r="C6" s="64" t="str">
        <v>C</v>
      </c>
      <c r="E6" s="63" t="s">
        <v>142</v>
      </c>
    </row>
    <row r="7" spans="1:5" x14ac:dyDescent="0.25">
      <c r="B7" t="s">
        <v>64</v>
      </c>
      <c r="C7" s="64" t="str">
        <v>D</v>
      </c>
    </row>
    <row r="8" spans="1:5" x14ac:dyDescent="0.25">
      <c r="B8" t="s">
        <v>64</v>
      </c>
      <c r="C8" s="64" t="str">
        <v>E</v>
      </c>
    </row>
    <row r="9" spans="1:5" x14ac:dyDescent="0.25">
      <c r="B9" t="s">
        <v>64</v>
      </c>
      <c r="C9" s="64" t="str">
        <v>F</v>
      </c>
    </row>
    <row r="10" spans="1:5" x14ac:dyDescent="0.25">
      <c r="B10" t="s">
        <v>66</v>
      </c>
      <c r="C10" s="64"/>
    </row>
    <row r="11" spans="1:5" x14ac:dyDescent="0.25">
      <c r="B11" t="s">
        <v>66</v>
      </c>
      <c r="C11" s="64" t="str" cm="1">
        <f t="array" ref="C11:C16">_xlfn.UNIQUE($B$4:$B$16)</f>
        <v>A</v>
      </c>
    </row>
    <row r="12" spans="1:5" x14ac:dyDescent="0.25">
      <c r="B12" t="s">
        <v>69</v>
      </c>
      <c r="C12" s="64" t="str">
        <v>B</v>
      </c>
    </row>
    <row r="13" spans="1:5" x14ac:dyDescent="0.25">
      <c r="B13" t="s">
        <v>69</v>
      </c>
      <c r="C13" s="64" t="str">
        <v>C</v>
      </c>
    </row>
    <row r="14" spans="1:5" x14ac:dyDescent="0.25">
      <c r="B14" t="s">
        <v>69</v>
      </c>
      <c r="C14" s="64" t="str">
        <v>D</v>
      </c>
    </row>
    <row r="15" spans="1:5" x14ac:dyDescent="0.25">
      <c r="B15" t="s">
        <v>143</v>
      </c>
      <c r="C15" s="64" t="str">
        <v>E</v>
      </c>
    </row>
    <row r="16" spans="1:5" x14ac:dyDescent="0.25">
      <c r="B16" t="s">
        <v>72</v>
      </c>
      <c r="C16" s="64" t="str">
        <v>F</v>
      </c>
    </row>
    <row r="22" spans="2:3" hidden="1" outlineLevel="1" x14ac:dyDescent="0.25"/>
    <row r="23" spans="2:3" hidden="1" outlineLevel="1" x14ac:dyDescent="0.25"/>
    <row r="24" spans="2:3" hidden="1" outlineLevel="1" x14ac:dyDescent="0.25">
      <c r="B24" s="60" t="s">
        <v>139</v>
      </c>
      <c r="C24" s="60" t="s">
        <v>140</v>
      </c>
    </row>
    <row r="25" spans="2:3" hidden="1" outlineLevel="1" x14ac:dyDescent="0.25">
      <c r="B25" t="s">
        <v>49</v>
      </c>
      <c r="C25" s="64" t="str" cm="1">
        <f t="array" ref="C25:C30">_xlfn.UNIQUE(B25:B37)</f>
        <v>A</v>
      </c>
    </row>
    <row r="26" spans="2:3" hidden="1" outlineLevel="1" x14ac:dyDescent="0.25">
      <c r="B26" t="s">
        <v>49</v>
      </c>
      <c r="C26" s="64" t="str">
        <v>B</v>
      </c>
    </row>
    <row r="27" spans="2:3" hidden="1" outlineLevel="1" x14ac:dyDescent="0.25">
      <c r="B27" t="s">
        <v>49</v>
      </c>
      <c r="C27" s="64" t="str">
        <v>C</v>
      </c>
    </row>
    <row r="28" spans="2:3" hidden="1" outlineLevel="1" x14ac:dyDescent="0.25">
      <c r="B28" t="s">
        <v>64</v>
      </c>
      <c r="C28" s="64" t="str">
        <v>D</v>
      </c>
    </row>
    <row r="29" spans="2:3" hidden="1" outlineLevel="1" x14ac:dyDescent="0.25">
      <c r="B29" t="s">
        <v>64</v>
      </c>
      <c r="C29" s="64" t="str">
        <v>E</v>
      </c>
    </row>
    <row r="30" spans="2:3" hidden="1" outlineLevel="1" x14ac:dyDescent="0.25">
      <c r="B30" t="s">
        <v>64</v>
      </c>
      <c r="C30" s="64" t="str">
        <v>F</v>
      </c>
    </row>
    <row r="31" spans="2:3" hidden="1" outlineLevel="1" x14ac:dyDescent="0.25">
      <c r="B31" t="s">
        <v>66</v>
      </c>
      <c r="C31" s="64"/>
    </row>
    <row r="32" spans="2:3" hidden="1" outlineLevel="1" x14ac:dyDescent="0.25">
      <c r="B32" t="s">
        <v>66</v>
      </c>
      <c r="C32" s="64"/>
    </row>
    <row r="33" spans="2:3" hidden="1" outlineLevel="1" x14ac:dyDescent="0.25">
      <c r="B33" t="s">
        <v>69</v>
      </c>
      <c r="C33" s="64"/>
    </row>
    <row r="34" spans="2:3" hidden="1" outlineLevel="1" x14ac:dyDescent="0.25">
      <c r="B34" t="s">
        <v>69</v>
      </c>
      <c r="C34" s="64"/>
    </row>
    <row r="35" spans="2:3" hidden="1" outlineLevel="1" x14ac:dyDescent="0.25">
      <c r="B35" t="s">
        <v>69</v>
      </c>
      <c r="C35" s="64"/>
    </row>
    <row r="36" spans="2:3" hidden="1" outlineLevel="1" x14ac:dyDescent="0.25">
      <c r="B36" t="s">
        <v>143</v>
      </c>
      <c r="C36" s="64"/>
    </row>
    <row r="37" spans="2:3" hidden="1" outlineLevel="1" x14ac:dyDescent="0.25">
      <c r="B37" t="s">
        <v>72</v>
      </c>
      <c r="C37" s="64"/>
    </row>
    <row r="38" spans="2:3" hidden="1" outlineLevel="1" x14ac:dyDescent="0.25"/>
    <row r="39" spans="2:3" hidden="1" outlineLevel="1" x14ac:dyDescent="0.25"/>
    <row r="40" spans="2:3" collapsed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6097-1366-4737-BEFF-06C05B0E7002}">
  <dimension ref="B2:F30"/>
  <sheetViews>
    <sheetView topLeftCell="A9" zoomScale="116" workbookViewId="0">
      <selection activeCell="E38" sqref="E38"/>
    </sheetView>
  </sheetViews>
  <sheetFormatPr defaultRowHeight="15" outlineLevelRow="1" x14ac:dyDescent="0.25"/>
  <cols>
    <col min="2" max="2" width="10.85546875" customWidth="1"/>
    <col min="4" max="4" width="16.7109375" bestFit="1" customWidth="1"/>
    <col min="5" max="5" width="74.42578125" bestFit="1" customWidth="1"/>
    <col min="6" max="6" width="35.5703125" bestFit="1" customWidth="1"/>
  </cols>
  <sheetData>
    <row r="2" spans="2:6" x14ac:dyDescent="0.25">
      <c r="B2" s="123" t="s">
        <v>179</v>
      </c>
      <c r="D2" s="124" t="s">
        <v>180</v>
      </c>
      <c r="E2" s="124" t="s">
        <v>58</v>
      </c>
      <c r="F2" s="124" t="s">
        <v>181</v>
      </c>
    </row>
    <row r="3" spans="2:6" ht="39" x14ac:dyDescent="0.3">
      <c r="B3" s="142" t="s">
        <v>182</v>
      </c>
      <c r="D3" s="139" t="s">
        <v>183</v>
      </c>
      <c r="E3" s="140" t="str">
        <f>CONCATENATE($B$3,"😺",$B$4,"🐕",$B$5,"🐭",$B$6,"",$B$7,"🐘",$B$8,"🦟",$B$9,"🦓",$B$10,"🏇")</f>
        <v>Cat😺Dog🐕Rat🐭MouseElephant🐘Mosquito🦟Zebra🦓Horse🏇</v>
      </c>
      <c r="F3" t="str">
        <f ca="1">_xlfn.FORMULATEXT(E3)</f>
        <v>=CONCATENATE($B$3,"😺",$B$4,"🐕",$B$5,"🐭",$B$6,"",$B$7,"🐘",$B$8,"🦟",$B$9,"🦓",$B$10,"🏇")</v>
      </c>
    </row>
    <row r="4" spans="2:6" ht="24.75" customHeight="1" x14ac:dyDescent="0.3">
      <c r="B4" s="142" t="s">
        <v>184</v>
      </c>
      <c r="D4" s="139" t="s">
        <v>185</v>
      </c>
      <c r="E4" s="141" t="str">
        <f>$B$3&amp;B4&amp;B5&amp;B6&amp;B7&amp;B8&amp;B9&amp;B10</f>
        <v>CatDogRatMouseElephantMosquitoZebraHorse</v>
      </c>
      <c r="F4" t="str">
        <f ca="1">_xlfn.FORMULATEXT(E4)</f>
        <v>=$B$3&amp;B4&amp;B5&amp;B6&amp;B7&amp;B8&amp;B9&amp;B10</v>
      </c>
    </row>
    <row r="5" spans="2:6" ht="44.25" customHeight="1" x14ac:dyDescent="0.3">
      <c r="B5" s="142" t="s">
        <v>186</v>
      </c>
      <c r="D5" s="139" t="s">
        <v>187</v>
      </c>
      <c r="E5" s="141" t="str">
        <f>_xlfn.TEXTJOIN(" - ",TRUE,$B$3:$B$10)</f>
        <v>Cat - Dog - Rat - Mouse - Elephant - Mosquito - Zebra - Horse</v>
      </c>
      <c r="F5" t="str">
        <f ca="1">_xlfn.FORMULATEXT(E5)</f>
        <v>=TEXTJOIN(" - ",TRUE,$B$3:$B$10)</v>
      </c>
    </row>
    <row r="6" spans="2:6" x14ac:dyDescent="0.25">
      <c r="B6" s="142" t="s">
        <v>188</v>
      </c>
    </row>
    <row r="7" spans="2:6" ht="19.5" x14ac:dyDescent="0.3">
      <c r="B7" s="142" t="s">
        <v>189</v>
      </c>
      <c r="D7" s="139" t="s">
        <v>195</v>
      </c>
      <c r="E7" t="str">
        <f>_xlfn.TEXTJOIN("-",TRUE,$B$3:$B$10)</f>
        <v>Cat-Dog-Rat-Mouse-Elephant-Mosquito-Zebra-Horse</v>
      </c>
      <c r="F7" s="138" t="str">
        <f ca="1">_xlfn.FORMULATEXT(E7)</f>
        <v>=TEXTJOIN("-",TRUE,$B$3:$B$10)</v>
      </c>
    </row>
    <row r="8" spans="2:6" x14ac:dyDescent="0.25">
      <c r="B8" s="142" t="s">
        <v>190</v>
      </c>
      <c r="E8" s="148" t="str">
        <f>UPPER($E$7)</f>
        <v>CAT-DOG-RAT-MOUSE-ELEPHANT-MOSQUITO-ZEBRA-HORSE</v>
      </c>
      <c r="F8" t="str">
        <f ca="1">_xlfn.FORMULATEXT($E$8)</f>
        <v>=UPPER($E$7)</v>
      </c>
    </row>
    <row r="9" spans="2:6" x14ac:dyDescent="0.25">
      <c r="B9" s="142" t="s">
        <v>191</v>
      </c>
    </row>
    <row r="10" spans="2:6" x14ac:dyDescent="0.25">
      <c r="B10" s="143" t="s">
        <v>192</v>
      </c>
      <c r="E10" t="str">
        <f>CONCATENATE($B$3," - ",$B$4&amp;" - ",$B$5," - ",$B$6)</f>
        <v>Cat - Dog - Rat - Mouse</v>
      </c>
      <c r="F10" t="str">
        <f ca="1">_xlfn.FORMULATEXT($E$10)</f>
        <v>=CONCATENATE($B$3," - ",$B$4&amp;" - ",$B$5," - ",$B$6)</v>
      </c>
    </row>
    <row r="12" spans="2:6" x14ac:dyDescent="0.25">
      <c r="E12" t="str">
        <f>PROPER(E10)</f>
        <v>Cat - Dog - Rat - Mouse</v>
      </c>
    </row>
    <row r="14" spans="2:6" x14ac:dyDescent="0.25">
      <c r="E14" t="str">
        <f>_xlfn.TEXTJOIN(" -$- ",TRUE,$B$3:$B$10)</f>
        <v>Cat -$- Dog -$- Rat -$- Mouse -$- Elephant -$- Mosquito -$- Zebra -$- Horse</v>
      </c>
    </row>
    <row r="16" spans="2:6" x14ac:dyDescent="0.25">
      <c r="E16" s="148" t="str">
        <f>UPPER(_xlfn.TEXTJOIN(" - ",TRUE,$B$3:$B$10))</f>
        <v>CAT - DOG - RAT - MOUSE - ELEPHANT - MOSQUITO - ZEBRA - HORSE</v>
      </c>
    </row>
    <row r="17" spans="2:6" x14ac:dyDescent="0.25">
      <c r="E17" s="148" t="str">
        <f>LOWER(_xlfn.TEXTJOIN(" - ",TRUE,$B$3:$B$10))</f>
        <v>cat - dog - rat - mouse - elephant - mosquito - zebra - horse</v>
      </c>
    </row>
    <row r="18" spans="2:6" hidden="1" outlineLevel="1" x14ac:dyDescent="0.25"/>
    <row r="19" spans="2:6" hidden="1" outlineLevel="1" x14ac:dyDescent="0.25">
      <c r="B19" s="123" t="s">
        <v>179</v>
      </c>
      <c r="D19" s="124" t="s">
        <v>180</v>
      </c>
      <c r="E19" s="124" t="s">
        <v>58</v>
      </c>
      <c r="F19" s="124" t="s">
        <v>181</v>
      </c>
    </row>
    <row r="20" spans="2:6" hidden="1" outlineLevel="1" x14ac:dyDescent="0.25">
      <c r="B20" s="125" t="s">
        <v>182</v>
      </c>
      <c r="D20" t="s">
        <v>183</v>
      </c>
      <c r="E20" t="str">
        <f>CONCATENATE(B20,B21,B22,B23,B24,B25,B26,B27)</f>
        <v>CatDogRatMouseElephantMosquitoZebraHorse</v>
      </c>
      <c r="F20" t="str">
        <f ca="1">_xlfn.FORMULATEXT(E20)</f>
        <v>=CONCATENATE(B20,B21,B22,B23,B24,B25,B26,B27)</v>
      </c>
    </row>
    <row r="21" spans="2:6" hidden="1" outlineLevel="1" x14ac:dyDescent="0.25">
      <c r="B21" s="125" t="s">
        <v>184</v>
      </c>
      <c r="D21" t="s">
        <v>185</v>
      </c>
      <c r="E21" t="str">
        <f>B20&amp;B21&amp;B22&amp;B23&amp;B24&amp;B25&amp;B26&amp;B27</f>
        <v>CatDogRatMouseElephantMosquitoZebraHorse</v>
      </c>
      <c r="F21" t="str">
        <f ca="1">_xlfn.FORMULATEXT(E21)</f>
        <v>=B20&amp;B21&amp;B22&amp;B23&amp;B24&amp;B25&amp;B26&amp;B27</v>
      </c>
    </row>
    <row r="22" spans="2:6" hidden="1" outlineLevel="1" x14ac:dyDescent="0.25">
      <c r="B22" s="125" t="s">
        <v>186</v>
      </c>
      <c r="D22" t="s">
        <v>187</v>
      </c>
      <c r="E22" t="str">
        <f>_xlfn.TEXTJOIN("  ",TRUE,B20:B27)</f>
        <v>Cat  Dog  Rat  Mouse  Elephant  Mosquito  Zebra  Horse</v>
      </c>
      <c r="F22" t="str">
        <f ca="1">_xlfn.FORMULATEXT(E22)</f>
        <v>=TEXTJOIN("  ",TRUE,B20:B27)</v>
      </c>
    </row>
    <row r="23" spans="2:6" hidden="1" outlineLevel="1" x14ac:dyDescent="0.25">
      <c r="B23" s="125" t="s">
        <v>188</v>
      </c>
    </row>
    <row r="24" spans="2:6" hidden="1" outlineLevel="1" x14ac:dyDescent="0.25">
      <c r="B24" s="125" t="s">
        <v>189</v>
      </c>
    </row>
    <row r="25" spans="2:6" hidden="1" outlineLevel="1" x14ac:dyDescent="0.25">
      <c r="B25" s="125" t="s">
        <v>190</v>
      </c>
    </row>
    <row r="26" spans="2:6" hidden="1" outlineLevel="1" x14ac:dyDescent="0.25">
      <c r="B26" s="125" t="s">
        <v>191</v>
      </c>
    </row>
    <row r="27" spans="2:6" hidden="1" outlineLevel="1" x14ac:dyDescent="0.25">
      <c r="B27" s="126" t="s">
        <v>192</v>
      </c>
    </row>
    <row r="28" spans="2:6" hidden="1" outlineLevel="1" x14ac:dyDescent="0.25"/>
    <row r="29" spans="2:6" collapsed="1" x14ac:dyDescent="0.25"/>
    <row r="30" spans="2:6" x14ac:dyDescent="0.25">
      <c r="E30" s="148" t="str">
        <f>_xlfn.TEXTJOIN(" - ",TRUE,$B$3:$B$10)</f>
        <v>Cat - Dog - Rat - Mouse - Elephant - Mosquito - Zebra - Horse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522-5042-4462-9E6B-14748B9D275D}">
  <dimension ref="B2:H42"/>
  <sheetViews>
    <sheetView workbookViewId="0">
      <selection activeCell="I1" sqref="I1"/>
    </sheetView>
  </sheetViews>
  <sheetFormatPr defaultRowHeight="15" outlineLevelRow="1" x14ac:dyDescent="0.25"/>
  <cols>
    <col min="1" max="1" width="5.28515625" customWidth="1"/>
  </cols>
  <sheetData>
    <row r="2" spans="2:8" x14ac:dyDescent="0.25">
      <c r="B2" t="s">
        <v>193</v>
      </c>
    </row>
    <row r="4" spans="2:8" x14ac:dyDescent="0.25">
      <c r="B4" s="92" t="s">
        <v>105</v>
      </c>
      <c r="C4" s="93" t="s">
        <v>106</v>
      </c>
      <c r="D4" s="93" t="s">
        <v>107</v>
      </c>
      <c r="E4" s="94" t="s">
        <v>108</v>
      </c>
      <c r="F4" s="94" t="s">
        <v>109</v>
      </c>
      <c r="G4" s="94" t="s">
        <v>110</v>
      </c>
      <c r="H4" s="95" t="s">
        <v>111</v>
      </c>
    </row>
    <row r="5" spans="2:8" x14ac:dyDescent="0.25">
      <c r="B5" s="96">
        <v>43471</v>
      </c>
      <c r="C5" s="97" t="s">
        <v>32</v>
      </c>
      <c r="D5" s="97" t="s">
        <v>112</v>
      </c>
      <c r="E5" s="98" t="s">
        <v>113</v>
      </c>
      <c r="F5" s="97">
        <v>95</v>
      </c>
      <c r="G5" s="127">
        <v>1.99</v>
      </c>
      <c r="H5" s="128">
        <v>189.05</v>
      </c>
    </row>
    <row r="6" spans="2:8" x14ac:dyDescent="0.25">
      <c r="B6" s="96">
        <v>43488</v>
      </c>
      <c r="C6" s="97" t="s">
        <v>115</v>
      </c>
      <c r="D6" s="97" t="s">
        <v>116</v>
      </c>
      <c r="E6" s="98" t="s">
        <v>117</v>
      </c>
      <c r="F6" s="97">
        <v>50</v>
      </c>
      <c r="G6" s="127">
        <v>19.989999999999998</v>
      </c>
      <c r="H6" s="128">
        <v>999.49999999999989</v>
      </c>
    </row>
    <row r="7" spans="2:8" x14ac:dyDescent="0.25">
      <c r="B7" s="96">
        <v>43505</v>
      </c>
      <c r="C7" s="97" t="s">
        <v>115</v>
      </c>
      <c r="D7" s="97" t="s">
        <v>118</v>
      </c>
      <c r="E7" s="98" t="s">
        <v>113</v>
      </c>
      <c r="F7" s="97">
        <v>36</v>
      </c>
      <c r="G7" s="127">
        <v>4.99</v>
      </c>
      <c r="H7" s="128">
        <v>179.64000000000001</v>
      </c>
    </row>
    <row r="8" spans="2:8" x14ac:dyDescent="0.25">
      <c r="B8" s="96">
        <v>43522</v>
      </c>
      <c r="C8" s="97" t="s">
        <v>115</v>
      </c>
      <c r="D8" s="97" t="s">
        <v>119</v>
      </c>
      <c r="E8" s="98" t="s">
        <v>120</v>
      </c>
      <c r="F8" s="97">
        <v>27</v>
      </c>
      <c r="G8" s="127">
        <v>19.989999999999998</v>
      </c>
      <c r="H8" s="128">
        <v>539.7299999999999</v>
      </c>
    </row>
    <row r="9" spans="2:8" x14ac:dyDescent="0.25">
      <c r="B9" s="96">
        <v>43539</v>
      </c>
      <c r="C9" s="97" t="s">
        <v>33</v>
      </c>
      <c r="D9" s="97" t="s">
        <v>121</v>
      </c>
      <c r="E9" s="98" t="s">
        <v>113</v>
      </c>
      <c r="F9" s="97">
        <v>56</v>
      </c>
      <c r="G9" s="127">
        <v>2.99</v>
      </c>
      <c r="H9" s="128">
        <v>167.44</v>
      </c>
    </row>
    <row r="10" spans="2:8" x14ac:dyDescent="0.25">
      <c r="B10" s="96">
        <v>43556</v>
      </c>
      <c r="C10" s="97" t="s">
        <v>32</v>
      </c>
      <c r="D10" s="97" t="s">
        <v>112</v>
      </c>
      <c r="E10" s="98" t="s">
        <v>117</v>
      </c>
      <c r="F10" s="97">
        <v>60</v>
      </c>
      <c r="G10" s="127">
        <v>4.99</v>
      </c>
      <c r="H10" s="128">
        <v>299.40000000000003</v>
      </c>
    </row>
    <row r="11" spans="2:8" x14ac:dyDescent="0.25">
      <c r="B11" s="96">
        <v>43573</v>
      </c>
      <c r="C11" s="97" t="s">
        <v>115</v>
      </c>
      <c r="D11" s="97" t="s">
        <v>122</v>
      </c>
      <c r="E11" s="98" t="s">
        <v>113</v>
      </c>
      <c r="F11" s="97">
        <v>75</v>
      </c>
      <c r="G11" s="127">
        <v>1.99</v>
      </c>
      <c r="H11" s="128">
        <v>149.25</v>
      </c>
    </row>
    <row r="12" spans="2:8" x14ac:dyDescent="0.25">
      <c r="B12" s="96">
        <v>43590</v>
      </c>
      <c r="C12" s="97" t="s">
        <v>115</v>
      </c>
      <c r="D12" s="97" t="s">
        <v>118</v>
      </c>
      <c r="E12" s="98" t="s">
        <v>113</v>
      </c>
      <c r="F12" s="97">
        <v>90</v>
      </c>
      <c r="G12" s="127">
        <v>4.99</v>
      </c>
      <c r="H12" s="128">
        <v>449.1</v>
      </c>
    </row>
    <row r="13" spans="2:8" x14ac:dyDescent="0.25">
      <c r="B13" s="96">
        <v>43607</v>
      </c>
      <c r="C13" s="97" t="s">
        <v>33</v>
      </c>
      <c r="D13" s="97" t="s">
        <v>123</v>
      </c>
      <c r="E13" s="98" t="s">
        <v>113</v>
      </c>
      <c r="F13" s="97">
        <v>32</v>
      </c>
      <c r="G13" s="127">
        <v>1.99</v>
      </c>
      <c r="H13" s="128">
        <v>63.68</v>
      </c>
    </row>
    <row r="14" spans="2:8" x14ac:dyDescent="0.25">
      <c r="B14" s="133">
        <v>43624</v>
      </c>
      <c r="C14" s="134" t="s">
        <v>32</v>
      </c>
      <c r="D14" s="134" t="s">
        <v>112</v>
      </c>
      <c r="E14" s="135" t="s">
        <v>117</v>
      </c>
      <c r="F14" s="134">
        <v>60</v>
      </c>
      <c r="G14" s="136">
        <v>8.99</v>
      </c>
      <c r="H14" s="137">
        <v>539.4</v>
      </c>
    </row>
    <row r="16" spans="2:8" x14ac:dyDescent="0.25">
      <c r="B16" t="s">
        <v>137</v>
      </c>
      <c r="C16" s="38" t="e" cm="1">
        <f t="array" ref="C16">_xlfn.LET(
  _xlpm.seachcolumn,$H$5:$H$14,
  _xlpm.maxvalue,MAX(searchcolumn),
  _xlpm.Returncolumn,$D$5:$D$14,
_xlfn.XLOOKUP(_xlpm.maxvalue,searchcolumn,_xlpm.Returncolumn)
)</f>
        <v>#NAME?</v>
      </c>
    </row>
    <row r="21" spans="2:8" hidden="1" outlineLevel="1" x14ac:dyDescent="0.25"/>
    <row r="22" spans="2:8" hidden="1" outlineLevel="1" x14ac:dyDescent="0.25"/>
    <row r="23" spans="2:8" hidden="1" outlineLevel="1" x14ac:dyDescent="0.25"/>
    <row r="24" spans="2:8" hidden="1" outlineLevel="1" x14ac:dyDescent="0.25"/>
    <row r="25" spans="2:8" hidden="1" outlineLevel="1" x14ac:dyDescent="0.25"/>
    <row r="26" spans="2:8" hidden="1" outlineLevel="1" x14ac:dyDescent="0.25"/>
    <row r="27" spans="2:8" hidden="1" outlineLevel="1" x14ac:dyDescent="0.25">
      <c r="B27" s="92" t="s">
        <v>105</v>
      </c>
      <c r="C27" s="93" t="s">
        <v>106</v>
      </c>
      <c r="D27" s="93" t="s">
        <v>107</v>
      </c>
      <c r="E27" s="94" t="s">
        <v>108</v>
      </c>
      <c r="F27" s="94" t="s">
        <v>109</v>
      </c>
      <c r="G27" s="94" t="s">
        <v>110</v>
      </c>
      <c r="H27" s="95" t="s">
        <v>111</v>
      </c>
    </row>
    <row r="28" spans="2:8" hidden="1" outlineLevel="1" x14ac:dyDescent="0.25">
      <c r="B28" s="96">
        <v>43471</v>
      </c>
      <c r="C28" s="97" t="s">
        <v>32</v>
      </c>
      <c r="D28" s="97" t="s">
        <v>112</v>
      </c>
      <c r="E28" s="98" t="s">
        <v>113</v>
      </c>
      <c r="F28" s="97">
        <v>95</v>
      </c>
      <c r="G28" s="127">
        <v>1.99</v>
      </c>
      <c r="H28" s="128">
        <v>189.05</v>
      </c>
    </row>
    <row r="29" spans="2:8" hidden="1" outlineLevel="1" x14ac:dyDescent="0.25">
      <c r="B29" s="96">
        <v>43488</v>
      </c>
      <c r="C29" s="97" t="s">
        <v>115</v>
      </c>
      <c r="D29" s="97" t="s">
        <v>116</v>
      </c>
      <c r="E29" s="98" t="s">
        <v>117</v>
      </c>
      <c r="F29" s="97">
        <v>50</v>
      </c>
      <c r="G29" s="127">
        <v>19.989999999999998</v>
      </c>
      <c r="H29" s="128">
        <v>999.49999999999989</v>
      </c>
    </row>
    <row r="30" spans="2:8" hidden="1" outlineLevel="1" x14ac:dyDescent="0.25">
      <c r="B30" s="96">
        <v>43505</v>
      </c>
      <c r="C30" s="97" t="s">
        <v>115</v>
      </c>
      <c r="D30" s="97" t="s">
        <v>118</v>
      </c>
      <c r="E30" s="98" t="s">
        <v>113</v>
      </c>
      <c r="F30" s="97">
        <v>36</v>
      </c>
      <c r="G30" s="127">
        <v>4.99</v>
      </c>
      <c r="H30" s="128">
        <v>179.64000000000001</v>
      </c>
    </row>
    <row r="31" spans="2:8" hidden="1" outlineLevel="1" x14ac:dyDescent="0.25">
      <c r="B31" s="96">
        <v>43522</v>
      </c>
      <c r="C31" s="97" t="s">
        <v>115</v>
      </c>
      <c r="D31" s="97" t="s">
        <v>119</v>
      </c>
      <c r="E31" s="98" t="s">
        <v>120</v>
      </c>
      <c r="F31" s="97">
        <v>27</v>
      </c>
      <c r="G31" s="127">
        <v>19.989999999999998</v>
      </c>
      <c r="H31" s="128">
        <v>539.7299999999999</v>
      </c>
    </row>
    <row r="32" spans="2:8" hidden="1" outlineLevel="1" x14ac:dyDescent="0.25">
      <c r="B32" s="96">
        <v>43539</v>
      </c>
      <c r="C32" s="97" t="s">
        <v>33</v>
      </c>
      <c r="D32" s="97" t="s">
        <v>121</v>
      </c>
      <c r="E32" s="98" t="s">
        <v>113</v>
      </c>
      <c r="F32" s="97">
        <v>56</v>
      </c>
      <c r="G32" s="127">
        <v>2.99</v>
      </c>
      <c r="H32" s="128">
        <v>167.44</v>
      </c>
    </row>
    <row r="33" spans="2:8" hidden="1" outlineLevel="1" x14ac:dyDescent="0.25">
      <c r="B33" s="96">
        <v>43556</v>
      </c>
      <c r="C33" s="97" t="s">
        <v>32</v>
      </c>
      <c r="D33" s="97" t="s">
        <v>112</v>
      </c>
      <c r="E33" s="98" t="s">
        <v>117</v>
      </c>
      <c r="F33" s="97">
        <v>60</v>
      </c>
      <c r="G33" s="127">
        <v>4.99</v>
      </c>
      <c r="H33" s="128">
        <v>299.40000000000003</v>
      </c>
    </row>
    <row r="34" spans="2:8" hidden="1" outlineLevel="1" x14ac:dyDescent="0.25">
      <c r="B34" s="96">
        <v>43573</v>
      </c>
      <c r="C34" s="97" t="s">
        <v>115</v>
      </c>
      <c r="D34" s="97" t="s">
        <v>122</v>
      </c>
      <c r="E34" s="98" t="s">
        <v>113</v>
      </c>
      <c r="F34" s="97">
        <v>75</v>
      </c>
      <c r="G34" s="127">
        <v>1.99</v>
      </c>
      <c r="H34" s="128">
        <v>149.25</v>
      </c>
    </row>
    <row r="35" spans="2:8" hidden="1" outlineLevel="1" x14ac:dyDescent="0.25">
      <c r="B35" s="96">
        <v>43590</v>
      </c>
      <c r="C35" s="97" t="s">
        <v>115</v>
      </c>
      <c r="D35" s="97" t="s">
        <v>118</v>
      </c>
      <c r="E35" s="98" t="s">
        <v>113</v>
      </c>
      <c r="F35" s="97">
        <v>90</v>
      </c>
      <c r="G35" s="127">
        <v>4.99</v>
      </c>
      <c r="H35" s="128">
        <v>449.1</v>
      </c>
    </row>
    <row r="36" spans="2:8" hidden="1" outlineLevel="1" x14ac:dyDescent="0.25">
      <c r="B36" s="96">
        <v>43607</v>
      </c>
      <c r="C36" s="97" t="s">
        <v>33</v>
      </c>
      <c r="D36" s="97" t="s">
        <v>123</v>
      </c>
      <c r="E36" s="98" t="s">
        <v>113</v>
      </c>
      <c r="F36" s="97">
        <v>32</v>
      </c>
      <c r="G36" s="127">
        <v>1.99</v>
      </c>
      <c r="H36" s="128">
        <v>63.68</v>
      </c>
    </row>
    <row r="37" spans="2:8" hidden="1" outlineLevel="1" x14ac:dyDescent="0.25">
      <c r="B37" s="133">
        <v>43624</v>
      </c>
      <c r="C37" s="134" t="s">
        <v>32</v>
      </c>
      <c r="D37" s="134" t="s">
        <v>112</v>
      </c>
      <c r="E37" s="135" t="s">
        <v>117</v>
      </c>
      <c r="F37" s="134">
        <v>60</v>
      </c>
      <c r="G37" s="136">
        <v>8.99</v>
      </c>
      <c r="H37" s="137">
        <v>539.4</v>
      </c>
    </row>
    <row r="38" spans="2:8" hidden="1" outlineLevel="1" x14ac:dyDescent="0.25"/>
    <row r="39" spans="2:8" hidden="1" outlineLevel="1" x14ac:dyDescent="0.25">
      <c r="B39" t="s">
        <v>137</v>
      </c>
      <c r="C39" s="38" t="str" cm="1">
        <f t="array" ref="C39">_xlfn.LET(
          _xlpm.LookupColumn, H28:H37,
          _xlpm.MaxOfTotal,MAX(_xlpm.LookupColumn),
          _xlpm.ReturnColumn,D28:D37,
          _xlfn.XLOOKUP(_xlpm.MaxOfTotal,_xlpm.LookupColumn,_xlpm.ReturnColumn)
)</f>
        <v>Kivell</v>
      </c>
    </row>
    <row r="40" spans="2:8" hidden="1" outlineLevel="1" x14ac:dyDescent="0.25"/>
    <row r="41" spans="2:8" hidden="1" outlineLevel="1" x14ac:dyDescent="0.25"/>
    <row r="42" spans="2:8" collapsed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20D0-DB04-4C2D-ACAC-1207F5B2FAA4}">
  <dimension ref="A1:P71"/>
  <sheetViews>
    <sheetView workbookViewId="0">
      <selection activeCell="J6" sqref="J6"/>
    </sheetView>
  </sheetViews>
  <sheetFormatPr defaultRowHeight="15" x14ac:dyDescent="0.25"/>
  <cols>
    <col min="1" max="1" width="4.28515625" customWidth="1"/>
    <col min="3" max="3" width="23.42578125" customWidth="1"/>
    <col min="8" max="8" width="9.5703125" bestFit="1" customWidth="1"/>
    <col min="10" max="10" width="10.28515625" bestFit="1" customWidth="1"/>
  </cols>
  <sheetData>
    <row r="1" spans="1:16" x14ac:dyDescent="0.25">
      <c r="A1" s="43" t="s">
        <v>104</v>
      </c>
    </row>
    <row r="2" spans="1:16" x14ac:dyDescent="0.25">
      <c r="N2" s="38"/>
    </row>
    <row r="3" spans="1:16" x14ac:dyDescent="0.25">
      <c r="B3" s="92" t="s">
        <v>105</v>
      </c>
      <c r="C3" s="93" t="s">
        <v>106</v>
      </c>
      <c r="D3" s="93" t="s">
        <v>107</v>
      </c>
      <c r="E3" s="94" t="s">
        <v>108</v>
      </c>
      <c r="F3" s="94" t="s">
        <v>109</v>
      </c>
      <c r="G3" s="94" t="s">
        <v>110</v>
      </c>
      <c r="H3" s="95" t="s">
        <v>111</v>
      </c>
      <c r="J3" t="s">
        <v>20</v>
      </c>
    </row>
    <row r="4" spans="1:16" x14ac:dyDescent="0.25">
      <c r="B4" s="96">
        <v>43471</v>
      </c>
      <c r="C4" s="97" t="s">
        <v>32</v>
      </c>
      <c r="D4" s="97" t="s">
        <v>112</v>
      </c>
      <c r="E4" s="98" t="s">
        <v>113</v>
      </c>
      <c r="F4" s="97">
        <v>95</v>
      </c>
      <c r="G4" s="127">
        <v>1.99</v>
      </c>
      <c r="H4" s="128">
        <v>189.05</v>
      </c>
      <c r="J4" t="s">
        <v>114</v>
      </c>
    </row>
    <row r="5" spans="1:16" x14ac:dyDescent="0.25">
      <c r="B5" s="96">
        <v>43488</v>
      </c>
      <c r="C5" s="97" t="s">
        <v>115</v>
      </c>
      <c r="D5" s="97" t="s">
        <v>116</v>
      </c>
      <c r="E5" s="98" t="s">
        <v>117</v>
      </c>
      <c r="F5" s="97">
        <v>50</v>
      </c>
      <c r="G5" s="127">
        <v>19.989999999999998</v>
      </c>
      <c r="H5" s="128">
        <v>999.49999999999989</v>
      </c>
    </row>
    <row r="6" spans="1:16" x14ac:dyDescent="0.25">
      <c r="B6" s="96">
        <v>43505</v>
      </c>
      <c r="C6" s="97" t="s">
        <v>115</v>
      </c>
      <c r="D6" s="97" t="s">
        <v>118</v>
      </c>
      <c r="E6" s="98" t="s">
        <v>113</v>
      </c>
      <c r="F6" s="97">
        <v>36</v>
      </c>
      <c r="G6" s="127">
        <v>4.99</v>
      </c>
      <c r="H6" s="128">
        <v>179.64000000000001</v>
      </c>
      <c r="J6" s="92"/>
      <c r="K6" s="93"/>
      <c r="L6" s="93"/>
      <c r="M6" s="94"/>
      <c r="N6" s="94"/>
      <c r="O6" s="94"/>
      <c r="P6" s="95"/>
    </row>
    <row r="7" spans="1:16" x14ac:dyDescent="0.25">
      <c r="B7" s="96">
        <v>43522</v>
      </c>
      <c r="C7" s="97" t="s">
        <v>115</v>
      </c>
      <c r="D7" s="97" t="s">
        <v>119</v>
      </c>
      <c r="E7" s="98" t="s">
        <v>120</v>
      </c>
      <c r="F7" s="97">
        <v>27</v>
      </c>
      <c r="G7" s="127">
        <v>19.989999999999998</v>
      </c>
      <c r="H7" s="128">
        <v>539.7299999999999</v>
      </c>
      <c r="J7" s="129"/>
    </row>
    <row r="8" spans="1:16" x14ac:dyDescent="0.25">
      <c r="B8" s="96">
        <v>43539</v>
      </c>
      <c r="C8" s="97" t="s">
        <v>33</v>
      </c>
      <c r="D8" s="97" t="s">
        <v>121</v>
      </c>
      <c r="E8" s="98" t="s">
        <v>113</v>
      </c>
      <c r="F8" s="97">
        <v>56</v>
      </c>
      <c r="G8" s="127">
        <v>2.99</v>
      </c>
      <c r="H8" s="128">
        <v>167.44</v>
      </c>
      <c r="J8" s="130"/>
    </row>
    <row r="9" spans="1:16" x14ac:dyDescent="0.25">
      <c r="B9" s="96">
        <v>43556</v>
      </c>
      <c r="C9" s="97" t="s">
        <v>32</v>
      </c>
      <c r="D9" s="97" t="s">
        <v>112</v>
      </c>
      <c r="E9" s="98" t="s">
        <v>117</v>
      </c>
      <c r="F9" s="97">
        <v>60</v>
      </c>
      <c r="G9" s="127">
        <v>4.99</v>
      </c>
      <c r="H9" s="128">
        <v>299.40000000000003</v>
      </c>
      <c r="J9" s="130"/>
    </row>
    <row r="10" spans="1:16" x14ac:dyDescent="0.25">
      <c r="B10" s="96">
        <v>43573</v>
      </c>
      <c r="C10" s="97" t="s">
        <v>115</v>
      </c>
      <c r="D10" s="97" t="s">
        <v>122</v>
      </c>
      <c r="E10" s="98" t="s">
        <v>113</v>
      </c>
      <c r="F10" s="97">
        <v>75</v>
      </c>
      <c r="G10" s="127">
        <v>1.99</v>
      </c>
      <c r="H10" s="128">
        <v>149.25</v>
      </c>
      <c r="J10" s="130"/>
    </row>
    <row r="11" spans="1:16" x14ac:dyDescent="0.25">
      <c r="B11" s="96">
        <v>43590</v>
      </c>
      <c r="C11" s="97" t="s">
        <v>115</v>
      </c>
      <c r="D11" s="97" t="s">
        <v>118</v>
      </c>
      <c r="E11" s="98" t="s">
        <v>113</v>
      </c>
      <c r="F11" s="97">
        <v>90</v>
      </c>
      <c r="G11" s="127">
        <v>4.99</v>
      </c>
      <c r="H11" s="128">
        <v>449.1</v>
      </c>
      <c r="J11" s="130"/>
    </row>
    <row r="12" spans="1:16" x14ac:dyDescent="0.25">
      <c r="B12" s="96">
        <v>43607</v>
      </c>
      <c r="C12" s="97" t="s">
        <v>33</v>
      </c>
      <c r="D12" s="97" t="s">
        <v>123</v>
      </c>
      <c r="E12" s="98" t="s">
        <v>113</v>
      </c>
      <c r="F12" s="97">
        <v>32</v>
      </c>
      <c r="G12" s="127">
        <v>1.99</v>
      </c>
      <c r="H12" s="128">
        <v>63.68</v>
      </c>
      <c r="J12" s="130"/>
    </row>
    <row r="13" spans="1:16" x14ac:dyDescent="0.25">
      <c r="B13" s="96">
        <v>43624</v>
      </c>
      <c r="C13" s="97" t="s">
        <v>32</v>
      </c>
      <c r="D13" s="97" t="s">
        <v>112</v>
      </c>
      <c r="E13" s="98" t="s">
        <v>117</v>
      </c>
      <c r="F13" s="97">
        <v>60</v>
      </c>
      <c r="G13" s="127">
        <v>8.99</v>
      </c>
      <c r="H13" s="128">
        <v>539.4</v>
      </c>
      <c r="J13" s="130"/>
    </row>
    <row r="14" spans="1:16" x14ac:dyDescent="0.25">
      <c r="B14" s="96">
        <v>43641</v>
      </c>
      <c r="C14" s="97" t="s">
        <v>115</v>
      </c>
      <c r="D14" s="97" t="s">
        <v>124</v>
      </c>
      <c r="E14" s="98" t="s">
        <v>113</v>
      </c>
      <c r="F14" s="97">
        <v>90</v>
      </c>
      <c r="G14" s="127">
        <v>4.99</v>
      </c>
      <c r="H14" s="128">
        <v>449.1</v>
      </c>
      <c r="J14" s="130"/>
    </row>
    <row r="15" spans="1:16" x14ac:dyDescent="0.25">
      <c r="B15" s="96">
        <v>43658</v>
      </c>
      <c r="C15" s="97" t="s">
        <v>32</v>
      </c>
      <c r="D15" s="97" t="s">
        <v>125</v>
      </c>
      <c r="E15" s="98" t="s">
        <v>117</v>
      </c>
      <c r="F15" s="97">
        <v>29</v>
      </c>
      <c r="G15" s="127">
        <v>1.99</v>
      </c>
      <c r="H15" s="128">
        <v>57.71</v>
      </c>
      <c r="J15" s="130"/>
    </row>
    <row r="16" spans="1:16" x14ac:dyDescent="0.25">
      <c r="B16" s="96">
        <v>43675</v>
      </c>
      <c r="C16" s="97" t="s">
        <v>32</v>
      </c>
      <c r="D16" s="97" t="s">
        <v>126</v>
      </c>
      <c r="E16" s="98" t="s">
        <v>117</v>
      </c>
      <c r="F16" s="97">
        <v>81</v>
      </c>
      <c r="G16" s="127">
        <v>19.989999999999998</v>
      </c>
      <c r="H16" s="128">
        <v>1619.1899999999998</v>
      </c>
      <c r="J16" s="130"/>
    </row>
    <row r="17" spans="2:10" x14ac:dyDescent="0.25">
      <c r="B17" s="96">
        <v>43692</v>
      </c>
      <c r="C17" s="97" t="s">
        <v>32</v>
      </c>
      <c r="D17" s="97" t="s">
        <v>112</v>
      </c>
      <c r="E17" s="98" t="s">
        <v>113</v>
      </c>
      <c r="F17" s="97">
        <v>35</v>
      </c>
      <c r="G17" s="127">
        <v>4.99</v>
      </c>
      <c r="H17" s="128">
        <v>174.65</v>
      </c>
      <c r="J17" s="130"/>
    </row>
    <row r="18" spans="2:10" x14ac:dyDescent="0.25">
      <c r="B18" s="96">
        <v>43709</v>
      </c>
      <c r="C18" s="97" t="s">
        <v>115</v>
      </c>
      <c r="D18" s="97" t="s">
        <v>127</v>
      </c>
      <c r="E18" s="98" t="s">
        <v>128</v>
      </c>
      <c r="F18" s="97">
        <v>2</v>
      </c>
      <c r="G18" s="127">
        <v>125</v>
      </c>
      <c r="H18" s="128">
        <v>250</v>
      </c>
      <c r="J18" s="130"/>
    </row>
    <row r="19" spans="2:10" x14ac:dyDescent="0.25">
      <c r="B19" s="96">
        <v>43726</v>
      </c>
      <c r="C19" s="97" t="s">
        <v>32</v>
      </c>
      <c r="D19" s="97" t="s">
        <v>112</v>
      </c>
      <c r="E19" s="98" t="s">
        <v>129</v>
      </c>
      <c r="F19" s="97">
        <v>16</v>
      </c>
      <c r="G19" s="127">
        <v>15.99</v>
      </c>
      <c r="H19" s="128">
        <v>255.84</v>
      </c>
      <c r="J19" s="130"/>
    </row>
    <row r="20" spans="2:10" x14ac:dyDescent="0.25">
      <c r="B20" s="96">
        <v>43743</v>
      </c>
      <c r="C20" s="97" t="s">
        <v>115</v>
      </c>
      <c r="D20" s="97" t="s">
        <v>124</v>
      </c>
      <c r="E20" s="98" t="s">
        <v>117</v>
      </c>
      <c r="F20" s="97">
        <v>28</v>
      </c>
      <c r="G20" s="127">
        <v>8.99</v>
      </c>
      <c r="H20" s="128">
        <v>251.72</v>
      </c>
    </row>
    <row r="21" spans="2:10" x14ac:dyDescent="0.25">
      <c r="B21" s="96">
        <v>43760</v>
      </c>
      <c r="C21" s="97" t="s">
        <v>32</v>
      </c>
      <c r="D21" s="97" t="s">
        <v>112</v>
      </c>
      <c r="E21" s="98" t="s">
        <v>120</v>
      </c>
      <c r="F21" s="97">
        <v>64</v>
      </c>
      <c r="G21" s="127">
        <v>8.99</v>
      </c>
      <c r="H21" s="128">
        <v>575.36</v>
      </c>
    </row>
    <row r="22" spans="2:10" x14ac:dyDescent="0.25">
      <c r="B22" s="96">
        <v>43777</v>
      </c>
      <c r="C22" s="97" t="s">
        <v>32</v>
      </c>
      <c r="D22" s="97" t="s">
        <v>126</v>
      </c>
      <c r="E22" s="98" t="s">
        <v>120</v>
      </c>
      <c r="F22" s="97">
        <v>15</v>
      </c>
      <c r="G22" s="127">
        <v>19.989999999999998</v>
      </c>
      <c r="H22" s="128">
        <v>299.84999999999997</v>
      </c>
    </row>
    <row r="23" spans="2:10" x14ac:dyDescent="0.25">
      <c r="B23" s="96">
        <v>43794</v>
      </c>
      <c r="C23" s="97" t="s">
        <v>115</v>
      </c>
      <c r="D23" s="97" t="s">
        <v>116</v>
      </c>
      <c r="E23" s="98" t="s">
        <v>129</v>
      </c>
      <c r="F23" s="97">
        <v>96</v>
      </c>
      <c r="G23" s="127">
        <v>4.99</v>
      </c>
      <c r="H23" s="128">
        <v>479.04</v>
      </c>
    </row>
    <row r="24" spans="2:10" x14ac:dyDescent="0.25">
      <c r="B24" s="96">
        <v>43811</v>
      </c>
      <c r="C24" s="97" t="s">
        <v>115</v>
      </c>
      <c r="D24" s="97" t="s">
        <v>127</v>
      </c>
      <c r="E24" s="98" t="s">
        <v>113</v>
      </c>
      <c r="F24" s="97">
        <v>67</v>
      </c>
      <c r="G24" s="127">
        <v>1.29</v>
      </c>
      <c r="H24" s="128">
        <v>86.43</v>
      </c>
    </row>
    <row r="25" spans="2:10" x14ac:dyDescent="0.25">
      <c r="B25" s="96">
        <v>43828</v>
      </c>
      <c r="C25" s="97" t="s">
        <v>32</v>
      </c>
      <c r="D25" s="97" t="s">
        <v>126</v>
      </c>
      <c r="E25" s="98" t="s">
        <v>129</v>
      </c>
      <c r="F25" s="97">
        <v>74</v>
      </c>
      <c r="G25" s="127">
        <v>15.99</v>
      </c>
      <c r="H25" s="128">
        <v>1183.26</v>
      </c>
    </row>
    <row r="26" spans="2:10" x14ac:dyDescent="0.25">
      <c r="B26" s="96">
        <v>43845</v>
      </c>
      <c r="C26" s="97" t="s">
        <v>115</v>
      </c>
      <c r="D26" s="97" t="s">
        <v>119</v>
      </c>
      <c r="E26" s="98" t="s">
        <v>117</v>
      </c>
      <c r="F26" s="97">
        <v>46</v>
      </c>
      <c r="G26" s="127">
        <v>8.99</v>
      </c>
      <c r="H26" s="128">
        <v>413.54</v>
      </c>
    </row>
    <row r="27" spans="2:10" x14ac:dyDescent="0.25">
      <c r="B27" s="96">
        <v>43862</v>
      </c>
      <c r="C27" s="97" t="s">
        <v>115</v>
      </c>
      <c r="D27" s="97" t="s">
        <v>127</v>
      </c>
      <c r="E27" s="98" t="s">
        <v>117</v>
      </c>
      <c r="F27" s="97">
        <v>87</v>
      </c>
      <c r="G27" s="127">
        <v>15</v>
      </c>
      <c r="H27" s="128">
        <v>1305</v>
      </c>
    </row>
    <row r="28" spans="2:10" x14ac:dyDescent="0.25">
      <c r="B28" s="96">
        <v>43879</v>
      </c>
      <c r="C28" s="97" t="s">
        <v>32</v>
      </c>
      <c r="D28" s="97" t="s">
        <v>112</v>
      </c>
      <c r="E28" s="98" t="s">
        <v>117</v>
      </c>
      <c r="F28" s="97">
        <v>4</v>
      </c>
      <c r="G28" s="127">
        <v>4.99</v>
      </c>
      <c r="H28" s="128">
        <v>19.96</v>
      </c>
    </row>
    <row r="29" spans="2:10" x14ac:dyDescent="0.25">
      <c r="B29" s="96">
        <v>43897</v>
      </c>
      <c r="C29" s="97" t="s">
        <v>33</v>
      </c>
      <c r="D29" s="97" t="s">
        <v>121</v>
      </c>
      <c r="E29" s="98" t="s">
        <v>117</v>
      </c>
      <c r="F29" s="97">
        <v>7</v>
      </c>
      <c r="G29" s="127">
        <v>19.989999999999998</v>
      </c>
      <c r="H29" s="128">
        <v>139.92999999999998</v>
      </c>
    </row>
    <row r="30" spans="2:10" x14ac:dyDescent="0.25">
      <c r="B30" s="96">
        <v>43914</v>
      </c>
      <c r="C30" s="97" t="s">
        <v>115</v>
      </c>
      <c r="D30" s="97" t="s">
        <v>118</v>
      </c>
      <c r="E30" s="98" t="s">
        <v>129</v>
      </c>
      <c r="F30" s="97">
        <v>50</v>
      </c>
      <c r="G30" s="127">
        <v>4.99</v>
      </c>
      <c r="H30" s="128">
        <v>249.5</v>
      </c>
    </row>
    <row r="31" spans="2:10" x14ac:dyDescent="0.25">
      <c r="B31" s="96">
        <v>43931</v>
      </c>
      <c r="C31" s="97" t="s">
        <v>115</v>
      </c>
      <c r="D31" s="97" t="s">
        <v>122</v>
      </c>
      <c r="E31" s="98" t="s">
        <v>113</v>
      </c>
      <c r="F31" s="97">
        <v>66</v>
      </c>
      <c r="G31" s="127">
        <v>1.99</v>
      </c>
      <c r="H31" s="128">
        <v>131.34</v>
      </c>
    </row>
    <row r="32" spans="2:10" x14ac:dyDescent="0.25">
      <c r="B32" s="96">
        <v>43948</v>
      </c>
      <c r="C32" s="97" t="s">
        <v>32</v>
      </c>
      <c r="D32" s="97" t="s">
        <v>125</v>
      </c>
      <c r="E32" s="98" t="s">
        <v>120</v>
      </c>
      <c r="F32" s="97">
        <v>96</v>
      </c>
      <c r="G32" s="127">
        <v>4.99</v>
      </c>
      <c r="H32" s="128">
        <v>479.04</v>
      </c>
    </row>
    <row r="33" spans="2:8" x14ac:dyDescent="0.25">
      <c r="B33" s="96">
        <v>43965</v>
      </c>
      <c r="C33" s="97" t="s">
        <v>115</v>
      </c>
      <c r="D33" s="97" t="s">
        <v>119</v>
      </c>
      <c r="E33" s="98" t="s">
        <v>113</v>
      </c>
      <c r="F33" s="97">
        <v>53</v>
      </c>
      <c r="G33" s="127">
        <v>1.29</v>
      </c>
      <c r="H33" s="128">
        <v>68.37</v>
      </c>
    </row>
    <row r="34" spans="2:8" x14ac:dyDescent="0.25">
      <c r="B34" s="96">
        <v>43982</v>
      </c>
      <c r="C34" s="97" t="s">
        <v>115</v>
      </c>
      <c r="D34" s="97" t="s">
        <v>119</v>
      </c>
      <c r="E34" s="98" t="s">
        <v>117</v>
      </c>
      <c r="F34" s="97">
        <v>80</v>
      </c>
      <c r="G34" s="127">
        <v>8.99</v>
      </c>
      <c r="H34" s="128">
        <v>719.2</v>
      </c>
    </row>
    <row r="35" spans="2:8" x14ac:dyDescent="0.25">
      <c r="B35" s="96">
        <v>43999</v>
      </c>
      <c r="C35" s="97" t="s">
        <v>115</v>
      </c>
      <c r="D35" s="97" t="s">
        <v>116</v>
      </c>
      <c r="E35" s="98" t="s">
        <v>128</v>
      </c>
      <c r="F35" s="97">
        <v>5</v>
      </c>
      <c r="G35" s="127">
        <v>125</v>
      </c>
      <c r="H35" s="128">
        <v>625</v>
      </c>
    </row>
    <row r="36" spans="2:8" x14ac:dyDescent="0.25">
      <c r="B36" s="96">
        <v>44016</v>
      </c>
      <c r="C36" s="97" t="s">
        <v>32</v>
      </c>
      <c r="D36" s="97" t="s">
        <v>112</v>
      </c>
      <c r="E36" s="98" t="s">
        <v>129</v>
      </c>
      <c r="F36" s="97">
        <v>62</v>
      </c>
      <c r="G36" s="127">
        <v>4.99</v>
      </c>
      <c r="H36" s="128">
        <v>309.38</v>
      </c>
    </row>
    <row r="37" spans="2:8" x14ac:dyDescent="0.25">
      <c r="B37" s="96">
        <v>44033</v>
      </c>
      <c r="C37" s="97" t="s">
        <v>115</v>
      </c>
      <c r="D37" s="97" t="s">
        <v>124</v>
      </c>
      <c r="E37" s="98" t="s">
        <v>129</v>
      </c>
      <c r="F37" s="97">
        <v>55</v>
      </c>
      <c r="G37" s="127">
        <v>12.49</v>
      </c>
      <c r="H37" s="128">
        <v>686.95</v>
      </c>
    </row>
    <row r="38" spans="2:8" x14ac:dyDescent="0.25">
      <c r="B38" s="96">
        <v>44050</v>
      </c>
      <c r="C38" s="97" t="s">
        <v>115</v>
      </c>
      <c r="D38" s="97" t="s">
        <v>116</v>
      </c>
      <c r="E38" s="98" t="s">
        <v>129</v>
      </c>
      <c r="F38" s="97">
        <v>42</v>
      </c>
      <c r="G38" s="127">
        <v>23.95</v>
      </c>
      <c r="H38" s="128">
        <v>1005.9</v>
      </c>
    </row>
    <row r="39" spans="2:8" x14ac:dyDescent="0.25">
      <c r="B39" s="96">
        <v>44067</v>
      </c>
      <c r="C39" s="97" t="s">
        <v>33</v>
      </c>
      <c r="D39" s="97" t="s">
        <v>121</v>
      </c>
      <c r="E39" s="98" t="s">
        <v>128</v>
      </c>
      <c r="F39" s="97">
        <v>3</v>
      </c>
      <c r="G39" s="127">
        <v>275</v>
      </c>
      <c r="H39" s="128">
        <v>825</v>
      </c>
    </row>
    <row r="40" spans="2:8" x14ac:dyDescent="0.25">
      <c r="B40" s="96">
        <v>44084</v>
      </c>
      <c r="C40" s="97" t="s">
        <v>115</v>
      </c>
      <c r="D40" s="97" t="s">
        <v>119</v>
      </c>
      <c r="E40" s="98" t="s">
        <v>113</v>
      </c>
      <c r="F40" s="97">
        <v>7</v>
      </c>
      <c r="G40" s="127">
        <v>1.29</v>
      </c>
      <c r="H40" s="128">
        <v>9.0300000000000011</v>
      </c>
    </row>
    <row r="41" spans="2:8" x14ac:dyDescent="0.25">
      <c r="B41" s="96">
        <v>44101</v>
      </c>
      <c r="C41" s="97" t="s">
        <v>33</v>
      </c>
      <c r="D41" s="97" t="s">
        <v>121</v>
      </c>
      <c r="E41" s="98" t="s">
        <v>120</v>
      </c>
      <c r="F41" s="97">
        <v>76</v>
      </c>
      <c r="G41" s="127">
        <v>1.99</v>
      </c>
      <c r="H41" s="128">
        <v>151.24</v>
      </c>
    </row>
    <row r="42" spans="2:8" x14ac:dyDescent="0.25">
      <c r="B42" s="96">
        <v>44118</v>
      </c>
      <c r="C42" s="97" t="s">
        <v>33</v>
      </c>
      <c r="D42" s="97" t="s">
        <v>123</v>
      </c>
      <c r="E42" s="98" t="s">
        <v>117</v>
      </c>
      <c r="F42" s="97">
        <v>57</v>
      </c>
      <c r="G42" s="127">
        <v>19.989999999999998</v>
      </c>
      <c r="H42" s="128">
        <v>1139.4299999999998</v>
      </c>
    </row>
    <row r="43" spans="2:8" x14ac:dyDescent="0.25">
      <c r="B43" s="96">
        <v>44135</v>
      </c>
      <c r="C43" s="97" t="s">
        <v>115</v>
      </c>
      <c r="D43" s="97" t="s">
        <v>122</v>
      </c>
      <c r="E43" s="98" t="s">
        <v>113</v>
      </c>
      <c r="F43" s="97">
        <v>14</v>
      </c>
      <c r="G43" s="127">
        <v>1.29</v>
      </c>
      <c r="H43" s="128">
        <v>18.060000000000002</v>
      </c>
    </row>
    <row r="44" spans="2:8" x14ac:dyDescent="0.25">
      <c r="B44" s="96">
        <v>44152</v>
      </c>
      <c r="C44" s="97" t="s">
        <v>115</v>
      </c>
      <c r="D44" s="97" t="s">
        <v>118</v>
      </c>
      <c r="E44" s="98" t="s">
        <v>117</v>
      </c>
      <c r="F44" s="97">
        <v>11</v>
      </c>
      <c r="G44" s="127">
        <v>4.99</v>
      </c>
      <c r="H44" s="128">
        <v>54.89</v>
      </c>
    </row>
    <row r="45" spans="2:8" x14ac:dyDescent="0.25">
      <c r="B45" s="96">
        <v>44169</v>
      </c>
      <c r="C45" s="97" t="s">
        <v>115</v>
      </c>
      <c r="D45" s="97" t="s">
        <v>118</v>
      </c>
      <c r="E45" s="98" t="s">
        <v>117</v>
      </c>
      <c r="F45" s="97">
        <v>94</v>
      </c>
      <c r="G45" s="127">
        <v>19.989999999999998</v>
      </c>
      <c r="H45" s="128">
        <v>1879.06</v>
      </c>
    </row>
    <row r="46" spans="2:8" x14ac:dyDescent="0.25">
      <c r="B46" s="101">
        <v>44186</v>
      </c>
      <c r="C46" s="102" t="s">
        <v>115</v>
      </c>
      <c r="D46" s="102" t="s">
        <v>122</v>
      </c>
      <c r="E46" s="103" t="s">
        <v>117</v>
      </c>
      <c r="F46" s="102">
        <v>28</v>
      </c>
      <c r="G46" s="131">
        <v>4.99</v>
      </c>
      <c r="H46" s="132">
        <v>139.72</v>
      </c>
    </row>
    <row r="48" spans="2:8" hidden="1" x14ac:dyDescent="0.25"/>
    <row r="49" spans="10:16" hidden="1" x14ac:dyDescent="0.25"/>
    <row r="50" spans="10:16" hidden="1" x14ac:dyDescent="0.25"/>
    <row r="51" spans="10:16" hidden="1" x14ac:dyDescent="0.25">
      <c r="J51" t="s">
        <v>20</v>
      </c>
    </row>
    <row r="52" spans="10:16" hidden="1" x14ac:dyDescent="0.25">
      <c r="J52" t="s">
        <v>114</v>
      </c>
    </row>
    <row r="53" spans="10:16" hidden="1" x14ac:dyDescent="0.25"/>
    <row r="54" spans="10:16" hidden="1" x14ac:dyDescent="0.25">
      <c r="J54" s="92" t="s">
        <v>105</v>
      </c>
      <c r="K54" s="93" t="s">
        <v>106</v>
      </c>
      <c r="L54" s="93" t="s">
        <v>107</v>
      </c>
      <c r="M54" s="94" t="s">
        <v>108</v>
      </c>
      <c r="N54" s="94" t="s">
        <v>109</v>
      </c>
      <c r="O54" s="94" t="s">
        <v>110</v>
      </c>
      <c r="P54" s="95" t="s">
        <v>111</v>
      </c>
    </row>
    <row r="55" spans="10:16" hidden="1" x14ac:dyDescent="0.25">
      <c r="J55" cm="1">
        <f t="array" ref="J55:P67">_xlfn._xlws.FILTER(B3:H46,E3:E46="Pencil")</f>
        <v>43471</v>
      </c>
      <c r="K55" t="str">
        <v>East</v>
      </c>
      <c r="L55" t="str">
        <v>Jones</v>
      </c>
      <c r="M55" t="str">
        <v>Pencil</v>
      </c>
      <c r="N55">
        <v>95</v>
      </c>
      <c r="O55">
        <v>1.99</v>
      </c>
      <c r="P55">
        <v>189.05</v>
      </c>
    </row>
    <row r="56" spans="10:16" hidden="1" x14ac:dyDescent="0.25">
      <c r="J56">
        <v>43505</v>
      </c>
      <c r="K56" t="str">
        <v>Central</v>
      </c>
      <c r="L56" t="str">
        <v>Jardine</v>
      </c>
      <c r="M56" t="str">
        <v>Pencil</v>
      </c>
      <c r="N56">
        <v>36</v>
      </c>
      <c r="O56">
        <v>4.99</v>
      </c>
      <c r="P56">
        <v>179.64000000000001</v>
      </c>
    </row>
    <row r="57" spans="10:16" hidden="1" x14ac:dyDescent="0.25">
      <c r="J57">
        <v>43539</v>
      </c>
      <c r="K57" t="str">
        <v>West</v>
      </c>
      <c r="L57" t="str">
        <v>Sorvino</v>
      </c>
      <c r="M57" t="str">
        <v>Pencil</v>
      </c>
      <c r="N57">
        <v>56</v>
      </c>
      <c r="O57">
        <v>2.99</v>
      </c>
      <c r="P57">
        <v>167.44</v>
      </c>
    </row>
    <row r="58" spans="10:16" hidden="1" x14ac:dyDescent="0.25">
      <c r="J58">
        <v>43573</v>
      </c>
      <c r="K58" t="str">
        <v>Central</v>
      </c>
      <c r="L58" t="str">
        <v>Andrews</v>
      </c>
      <c r="M58" t="str">
        <v>Pencil</v>
      </c>
      <c r="N58">
        <v>75</v>
      </c>
      <c r="O58">
        <v>1.99</v>
      </c>
      <c r="P58">
        <v>149.25</v>
      </c>
    </row>
    <row r="59" spans="10:16" hidden="1" x14ac:dyDescent="0.25">
      <c r="J59">
        <v>43590</v>
      </c>
      <c r="K59" t="str">
        <v>Central</v>
      </c>
      <c r="L59" t="str">
        <v>Jardine</v>
      </c>
      <c r="M59" t="str">
        <v>Pencil</v>
      </c>
      <c r="N59">
        <v>90</v>
      </c>
      <c r="O59">
        <v>4.99</v>
      </c>
      <c r="P59">
        <v>449.1</v>
      </c>
    </row>
    <row r="60" spans="10:16" hidden="1" x14ac:dyDescent="0.25">
      <c r="J60">
        <v>43607</v>
      </c>
      <c r="K60" t="str">
        <v>West</v>
      </c>
      <c r="L60" t="str">
        <v>Thompson</v>
      </c>
      <c r="M60" t="str">
        <v>Pencil</v>
      </c>
      <c r="N60">
        <v>32</v>
      </c>
      <c r="O60">
        <v>1.99</v>
      </c>
      <c r="P60">
        <v>63.68</v>
      </c>
    </row>
    <row r="61" spans="10:16" hidden="1" x14ac:dyDescent="0.25">
      <c r="J61">
        <v>43641</v>
      </c>
      <c r="K61" t="str">
        <v>Central</v>
      </c>
      <c r="L61" t="str">
        <v>Morgan</v>
      </c>
      <c r="M61" t="str">
        <v>Pencil</v>
      </c>
      <c r="N61">
        <v>90</v>
      </c>
      <c r="O61">
        <v>4.99</v>
      </c>
      <c r="P61">
        <v>449.1</v>
      </c>
    </row>
    <row r="62" spans="10:16" hidden="1" x14ac:dyDescent="0.25">
      <c r="J62">
        <v>43692</v>
      </c>
      <c r="K62" t="str">
        <v>East</v>
      </c>
      <c r="L62" t="str">
        <v>Jones</v>
      </c>
      <c r="M62" t="str">
        <v>Pencil</v>
      </c>
      <c r="N62">
        <v>35</v>
      </c>
      <c r="O62">
        <v>4.99</v>
      </c>
      <c r="P62">
        <v>174.65</v>
      </c>
    </row>
    <row r="63" spans="10:16" hidden="1" x14ac:dyDescent="0.25">
      <c r="J63">
        <v>43811</v>
      </c>
      <c r="K63" t="str">
        <v>Central</v>
      </c>
      <c r="L63" t="str">
        <v>Smith</v>
      </c>
      <c r="M63" t="str">
        <v>Pencil</v>
      </c>
      <c r="N63">
        <v>67</v>
      </c>
      <c r="O63">
        <v>1.29</v>
      </c>
      <c r="P63">
        <v>86.43</v>
      </c>
    </row>
    <row r="64" spans="10:16" hidden="1" x14ac:dyDescent="0.25">
      <c r="J64">
        <v>43931</v>
      </c>
      <c r="K64" t="str">
        <v>Central</v>
      </c>
      <c r="L64" t="str">
        <v>Andrews</v>
      </c>
      <c r="M64" t="str">
        <v>Pencil</v>
      </c>
      <c r="N64">
        <v>66</v>
      </c>
      <c r="O64">
        <v>1.99</v>
      </c>
      <c r="P64">
        <v>131.34</v>
      </c>
    </row>
    <row r="65" spans="10:16" hidden="1" x14ac:dyDescent="0.25">
      <c r="J65">
        <v>43965</v>
      </c>
      <c r="K65" t="str">
        <v>Central</v>
      </c>
      <c r="L65" t="str">
        <v>Gill</v>
      </c>
      <c r="M65" t="str">
        <v>Pencil</v>
      </c>
      <c r="N65">
        <v>53</v>
      </c>
      <c r="O65">
        <v>1.29</v>
      </c>
      <c r="P65">
        <v>68.37</v>
      </c>
    </row>
    <row r="66" spans="10:16" hidden="1" x14ac:dyDescent="0.25">
      <c r="J66">
        <v>44084</v>
      </c>
      <c r="K66" t="str">
        <v>Central</v>
      </c>
      <c r="L66" t="str">
        <v>Gill</v>
      </c>
      <c r="M66" t="str">
        <v>Pencil</v>
      </c>
      <c r="N66">
        <v>7</v>
      </c>
      <c r="O66">
        <v>1.29</v>
      </c>
      <c r="P66">
        <v>9.0300000000000011</v>
      </c>
    </row>
    <row r="67" spans="10:16" hidden="1" x14ac:dyDescent="0.25">
      <c r="J67">
        <v>44135</v>
      </c>
      <c r="K67" t="str">
        <v>Central</v>
      </c>
      <c r="L67" t="str">
        <v>Andrews</v>
      </c>
      <c r="M67" t="str">
        <v>Pencil</v>
      </c>
      <c r="N67">
        <v>14</v>
      </c>
      <c r="O67">
        <v>1.29</v>
      </c>
      <c r="P67">
        <v>18.060000000000002</v>
      </c>
    </row>
    <row r="68" spans="10:16" hidden="1" x14ac:dyDescent="0.25"/>
    <row r="69" spans="10:16" hidden="1" x14ac:dyDescent="0.25"/>
    <row r="70" spans="10:16" hidden="1" x14ac:dyDescent="0.25"/>
    <row r="71" spans="10:16" hidden="1" x14ac:dyDescent="0.25"/>
  </sheetData>
  <dataValidations count="1">
    <dataValidation type="list" allowBlank="1" showInputMessage="1" showErrorMessage="1" sqref="N2" xr:uid="{7B5647FB-C8CA-4E21-AF9C-536C84504363}">
      <formula1>UniqueList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7C15-8D4F-4F42-9C70-B1F2A38C2A5A}">
  <dimension ref="A1:L29"/>
  <sheetViews>
    <sheetView workbookViewId="0">
      <selection activeCell="L16" sqref="L16"/>
    </sheetView>
  </sheetViews>
  <sheetFormatPr defaultRowHeight="15" outlineLevelRow="1" x14ac:dyDescent="0.25"/>
  <cols>
    <col min="1" max="1" width="4" customWidth="1"/>
    <col min="12" max="12" width="10.140625" customWidth="1"/>
  </cols>
  <sheetData>
    <row r="1" spans="1:12" x14ac:dyDescent="0.25">
      <c r="A1" s="43"/>
    </row>
    <row r="3" spans="1:12" x14ac:dyDescent="0.25">
      <c r="C3" s="66" t="s">
        <v>144</v>
      </c>
      <c r="D3" s="66" t="s">
        <v>145</v>
      </c>
      <c r="E3" s="66" t="s">
        <v>146</v>
      </c>
      <c r="F3" s="66" t="s">
        <v>36</v>
      </c>
      <c r="G3" s="66" t="s">
        <v>147</v>
      </c>
      <c r="H3" s="66" t="s">
        <v>148</v>
      </c>
      <c r="I3" s="66" t="s">
        <v>149</v>
      </c>
    </row>
    <row r="4" spans="1:12" x14ac:dyDescent="0.25">
      <c r="B4" s="43" t="s">
        <v>30</v>
      </c>
      <c r="C4">
        <v>326</v>
      </c>
      <c r="D4">
        <v>880</v>
      </c>
      <c r="E4">
        <v>42</v>
      </c>
      <c r="F4">
        <v>59</v>
      </c>
      <c r="G4">
        <v>745</v>
      </c>
      <c r="H4">
        <v>621</v>
      </c>
      <c r="I4">
        <v>960</v>
      </c>
    </row>
    <row r="5" spans="1:12" x14ac:dyDescent="0.25">
      <c r="B5" s="43" t="s">
        <v>31</v>
      </c>
      <c r="C5">
        <v>974</v>
      </c>
      <c r="D5">
        <v>830</v>
      </c>
      <c r="E5">
        <v>414</v>
      </c>
      <c r="F5">
        <v>462</v>
      </c>
      <c r="G5">
        <v>670</v>
      </c>
      <c r="H5">
        <v>551</v>
      </c>
      <c r="I5">
        <v>60</v>
      </c>
    </row>
    <row r="6" spans="1:12" x14ac:dyDescent="0.25">
      <c r="B6" s="43" t="s">
        <v>32</v>
      </c>
      <c r="C6">
        <v>201</v>
      </c>
      <c r="D6">
        <v>747</v>
      </c>
      <c r="E6">
        <v>388</v>
      </c>
      <c r="F6">
        <v>748</v>
      </c>
      <c r="G6">
        <v>163</v>
      </c>
      <c r="H6">
        <v>135</v>
      </c>
      <c r="I6">
        <v>32</v>
      </c>
    </row>
    <row r="7" spans="1:12" x14ac:dyDescent="0.25">
      <c r="B7" s="43" t="s">
        <v>33</v>
      </c>
      <c r="C7">
        <v>413</v>
      </c>
      <c r="D7">
        <v>914</v>
      </c>
      <c r="E7">
        <v>560</v>
      </c>
      <c r="F7">
        <v>331</v>
      </c>
      <c r="G7">
        <v>277</v>
      </c>
      <c r="H7">
        <v>639</v>
      </c>
      <c r="I7">
        <v>685</v>
      </c>
    </row>
    <row r="10" spans="1:12" x14ac:dyDescent="0.25">
      <c r="B10" s="43" t="s">
        <v>150</v>
      </c>
    </row>
    <row r="11" spans="1:12" x14ac:dyDescent="0.25">
      <c r="K11" s="43" t="s">
        <v>137</v>
      </c>
      <c r="L11" s="43" t="s">
        <v>151</v>
      </c>
    </row>
    <row r="12" spans="1:12" x14ac:dyDescent="0.25">
      <c r="B12" t="s">
        <v>152</v>
      </c>
      <c r="K12" s="64">
        <f>SUM(April:June)</f>
        <v>5401</v>
      </c>
      <c r="L12">
        <v>5401</v>
      </c>
    </row>
    <row r="13" spans="1:12" x14ac:dyDescent="0.25">
      <c r="B13" t="s">
        <v>153</v>
      </c>
      <c r="K13" s="64">
        <f>SUM(North,West)</f>
        <v>7452</v>
      </c>
      <c r="L13">
        <v>7452</v>
      </c>
    </row>
    <row r="14" spans="1:12" x14ac:dyDescent="0.25">
      <c r="B14" t="s">
        <v>154</v>
      </c>
      <c r="K14" s="64">
        <f>SUM(March:(May) South)</f>
        <v>1546</v>
      </c>
      <c r="L14">
        <v>1546</v>
      </c>
    </row>
    <row r="15" spans="1:12" x14ac:dyDescent="0.25">
      <c r="B15" t="s">
        <v>155</v>
      </c>
      <c r="K15" s="64">
        <f>SUM(March South, June North)</f>
        <v>1035</v>
      </c>
      <c r="L15">
        <v>1035</v>
      </c>
    </row>
    <row r="21" spans="2:12" hidden="1" outlineLevel="1" x14ac:dyDescent="0.25"/>
    <row r="22" spans="2:12" hidden="1" outlineLevel="1" x14ac:dyDescent="0.25">
      <c r="B22" s="43" t="s">
        <v>150</v>
      </c>
    </row>
    <row r="23" spans="2:12" hidden="1" outlineLevel="1" x14ac:dyDescent="0.25">
      <c r="K23" s="43" t="s">
        <v>137</v>
      </c>
      <c r="L23" s="43" t="s">
        <v>151</v>
      </c>
    </row>
    <row r="24" spans="2:12" hidden="1" outlineLevel="1" x14ac:dyDescent="0.25">
      <c r="B24" t="s">
        <v>152</v>
      </c>
      <c r="K24" s="64">
        <f>SUM(F16:H19)</f>
        <v>0</v>
      </c>
      <c r="L24">
        <v>5401</v>
      </c>
    </row>
    <row r="25" spans="2:12" hidden="1" outlineLevel="1" x14ac:dyDescent="0.25">
      <c r="B25" t="s">
        <v>153</v>
      </c>
      <c r="K25" s="64">
        <f>SUM(C16:I16,C19:I19)</f>
        <v>0</v>
      </c>
      <c r="L25">
        <v>7452</v>
      </c>
    </row>
    <row r="26" spans="2:12" hidden="1" outlineLevel="1" x14ac:dyDescent="0.25">
      <c r="B26" t="s">
        <v>154</v>
      </c>
      <c r="K26" s="64">
        <f>SUM(E16:G19 C17:I17)</f>
        <v>0</v>
      </c>
      <c r="L26">
        <v>1546</v>
      </c>
    </row>
    <row r="27" spans="2:12" hidden="1" outlineLevel="1" x14ac:dyDescent="0.25">
      <c r="B27" t="s">
        <v>155</v>
      </c>
      <c r="K27" s="64">
        <f>SUM(E16:E19 C17:I17,H16:H19 C16:I16)</f>
        <v>0</v>
      </c>
      <c r="L27">
        <v>1035</v>
      </c>
    </row>
    <row r="28" spans="2:12" hidden="1" outlineLevel="1" x14ac:dyDescent="0.25"/>
    <row r="29" spans="2:12" collapsed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30DE-580A-4C2F-ADA7-5C8D053D535B}">
  <dimension ref="B2:J49"/>
  <sheetViews>
    <sheetView topLeftCell="A2" workbookViewId="0">
      <selection activeCell="K13" sqref="K13"/>
    </sheetView>
  </sheetViews>
  <sheetFormatPr defaultRowHeight="15" x14ac:dyDescent="0.25"/>
  <cols>
    <col min="2" max="2" width="8.5703125" bestFit="1" customWidth="1"/>
    <col min="3" max="3" width="31.7109375" bestFit="1" customWidth="1"/>
    <col min="4" max="4" width="18.42578125" bestFit="1" customWidth="1"/>
    <col min="5" max="5" width="36.7109375" bestFit="1" customWidth="1"/>
    <col min="6" max="6" width="34.7109375" bestFit="1" customWidth="1"/>
    <col min="7" max="7" width="19.140625" bestFit="1" customWidth="1"/>
    <col min="9" max="9" width="22" customWidth="1"/>
    <col min="10" max="10" width="16.28515625" bestFit="1" customWidth="1"/>
  </cols>
  <sheetData>
    <row r="2" spans="2:10" x14ac:dyDescent="0.25">
      <c r="B2" s="149" t="s">
        <v>196</v>
      </c>
      <c r="C2" s="150" t="s">
        <v>197</v>
      </c>
      <c r="D2" s="150" t="s">
        <v>198</v>
      </c>
      <c r="E2" s="150" t="s">
        <v>199</v>
      </c>
      <c r="F2" s="150" t="s">
        <v>200</v>
      </c>
      <c r="G2" s="151" t="s">
        <v>201</v>
      </c>
    </row>
    <row r="3" spans="2:10" x14ac:dyDescent="0.25">
      <c r="B3" s="152" t="s">
        <v>202</v>
      </c>
      <c r="C3" s="153" t="s">
        <v>203</v>
      </c>
      <c r="D3" s="153">
        <v>5318</v>
      </c>
      <c r="E3" s="153" t="s">
        <v>204</v>
      </c>
      <c r="F3" s="153" t="s">
        <v>205</v>
      </c>
      <c r="G3" s="154">
        <v>5384821115070951</v>
      </c>
      <c r="I3" t="s">
        <v>206</v>
      </c>
    </row>
    <row r="4" spans="2:10" x14ac:dyDescent="0.25">
      <c r="B4" s="152" t="s">
        <v>207</v>
      </c>
      <c r="C4" s="153" t="s">
        <v>208</v>
      </c>
      <c r="D4" s="153">
        <v>1811</v>
      </c>
      <c r="E4" s="153" t="s">
        <v>209</v>
      </c>
      <c r="F4" s="153" t="s">
        <v>210</v>
      </c>
      <c r="G4" s="154">
        <v>5375716680027546</v>
      </c>
      <c r="I4" s="43" t="s">
        <v>211</v>
      </c>
    </row>
    <row r="5" spans="2:10" x14ac:dyDescent="0.25">
      <c r="B5" s="152" t="s">
        <v>212</v>
      </c>
      <c r="C5" s="153" t="s">
        <v>213</v>
      </c>
      <c r="D5" s="153">
        <v>6654</v>
      </c>
      <c r="E5" s="153" t="s">
        <v>214</v>
      </c>
      <c r="F5" s="153" t="s">
        <v>210</v>
      </c>
      <c r="G5" s="154">
        <v>5368111052946187</v>
      </c>
    </row>
    <row r="6" spans="2:10" x14ac:dyDescent="0.25">
      <c r="B6" s="152" t="s">
        <v>215</v>
      </c>
      <c r="C6" s="153" t="s">
        <v>216</v>
      </c>
      <c r="D6" s="153">
        <v>4300</v>
      </c>
      <c r="E6" s="153" t="s">
        <v>217</v>
      </c>
      <c r="F6" s="153" t="s">
        <v>210</v>
      </c>
      <c r="G6" s="154">
        <v>374143111580983</v>
      </c>
      <c r="I6" s="144" t="s">
        <v>375</v>
      </c>
      <c r="J6" s="43">
        <f>MAX(Data.Number)</f>
        <v>9951</v>
      </c>
    </row>
    <row r="7" spans="2:10" x14ac:dyDescent="0.25">
      <c r="B7" s="152" t="s">
        <v>218</v>
      </c>
      <c r="C7" s="153" t="s">
        <v>219</v>
      </c>
      <c r="D7" s="153">
        <v>4473</v>
      </c>
      <c r="E7" s="153" t="s">
        <v>220</v>
      </c>
      <c r="F7" s="153" t="s">
        <v>210</v>
      </c>
      <c r="G7" s="154">
        <v>342869218022092</v>
      </c>
      <c r="I7" s="144" t="s">
        <v>376</v>
      </c>
      <c r="J7" s="166" t="str">
        <f>_xlfn.XLOOKUP($J$6,Data.Number,NamesRanges,"Not Found")</f>
        <v>Malachi</v>
      </c>
    </row>
    <row r="8" spans="2:10" x14ac:dyDescent="0.25">
      <c r="B8" s="152" t="s">
        <v>221</v>
      </c>
      <c r="C8" s="153" t="s">
        <v>222</v>
      </c>
      <c r="D8" s="153">
        <v>5201</v>
      </c>
      <c r="E8" s="153" t="s">
        <v>223</v>
      </c>
      <c r="F8" s="153" t="s">
        <v>224</v>
      </c>
      <c r="G8" s="154">
        <v>5392474467409771</v>
      </c>
    </row>
    <row r="9" spans="2:10" x14ac:dyDescent="0.25">
      <c r="B9" s="152" t="s">
        <v>225</v>
      </c>
      <c r="C9" s="153" t="s">
        <v>226</v>
      </c>
      <c r="D9" s="153">
        <v>2760</v>
      </c>
      <c r="E9" s="153" t="s">
        <v>227</v>
      </c>
      <c r="F9" s="153" t="s">
        <v>228</v>
      </c>
      <c r="G9" s="154">
        <v>5178439900185916</v>
      </c>
    </row>
    <row r="10" spans="2:10" x14ac:dyDescent="0.25">
      <c r="B10" s="152" t="s">
        <v>229</v>
      </c>
      <c r="C10" s="153" t="s">
        <v>230</v>
      </c>
      <c r="D10" s="153">
        <v>7106</v>
      </c>
      <c r="E10" s="153" t="s">
        <v>231</v>
      </c>
      <c r="F10" s="153" t="s">
        <v>232</v>
      </c>
      <c r="G10" s="154">
        <v>345865207048137</v>
      </c>
      <c r="I10" s="43" t="s">
        <v>38</v>
      </c>
      <c r="J10" s="43">
        <f>MAX(Data.Number)</f>
        <v>9951</v>
      </c>
    </row>
    <row r="11" spans="2:10" x14ac:dyDescent="0.25">
      <c r="B11" s="152" t="s">
        <v>233</v>
      </c>
      <c r="C11" s="153" t="s">
        <v>234</v>
      </c>
      <c r="D11" s="153">
        <v>9184</v>
      </c>
      <c r="E11" s="153" t="s">
        <v>223</v>
      </c>
      <c r="F11" s="153" t="s">
        <v>235</v>
      </c>
      <c r="G11" s="154">
        <v>4923488002177320</v>
      </c>
      <c r="I11" s="43" t="s">
        <v>377</v>
      </c>
      <c r="J11" s="166" t="str">
        <f>_xlfn.XLOOKUP(MaxValue,Data.Number,NamesRanges,"Not Found")</f>
        <v>Malachi</v>
      </c>
    </row>
    <row r="12" spans="2:10" x14ac:dyDescent="0.25">
      <c r="B12" s="152" t="s">
        <v>236</v>
      </c>
      <c r="C12" s="153" t="s">
        <v>237</v>
      </c>
      <c r="D12" s="153">
        <v>7319</v>
      </c>
      <c r="E12" s="153" t="s">
        <v>238</v>
      </c>
      <c r="F12" s="153" t="s">
        <v>239</v>
      </c>
      <c r="G12" s="154">
        <v>5337154478123415</v>
      </c>
    </row>
    <row r="13" spans="2:10" x14ac:dyDescent="0.25">
      <c r="B13" s="152" t="s">
        <v>240</v>
      </c>
      <c r="C13" s="153" t="s">
        <v>241</v>
      </c>
      <c r="D13" s="153">
        <v>6476</v>
      </c>
      <c r="E13" s="153" t="s">
        <v>242</v>
      </c>
      <c r="F13" s="153" t="s">
        <v>239</v>
      </c>
      <c r="G13" s="154">
        <v>371725053978156</v>
      </c>
      <c r="I13" s="43" t="s">
        <v>378</v>
      </c>
      <c r="J13">
        <f>MIN(Data.Number)</f>
        <v>89</v>
      </c>
    </row>
    <row r="14" spans="2:10" x14ac:dyDescent="0.25">
      <c r="B14" s="152" t="s">
        <v>243</v>
      </c>
      <c r="C14" s="153" t="s">
        <v>244</v>
      </c>
      <c r="D14" s="153">
        <v>3629</v>
      </c>
      <c r="E14" s="153" t="s">
        <v>245</v>
      </c>
      <c r="F14" s="153" t="s">
        <v>246</v>
      </c>
      <c r="G14" s="154">
        <v>345054592756554</v>
      </c>
      <c r="I14" s="43" t="s">
        <v>377</v>
      </c>
      <c r="J14" s="168" t="str">
        <f>_xlfn.XLOOKUP(MinValue,Data.Number,NamesRanges,"Not Found")</f>
        <v>Joy</v>
      </c>
    </row>
    <row r="15" spans="2:10" x14ac:dyDescent="0.25">
      <c r="B15" s="152" t="s">
        <v>247</v>
      </c>
      <c r="C15" s="153" t="s">
        <v>248</v>
      </c>
      <c r="D15" s="153">
        <v>5388</v>
      </c>
      <c r="E15" s="153" t="s">
        <v>249</v>
      </c>
      <c r="F15" s="153" t="s">
        <v>246</v>
      </c>
      <c r="G15" s="154">
        <v>5217258850480421</v>
      </c>
      <c r="J15" s="168" t="str">
        <f>_xlfn.XLOOKUP(MinValue,Data.Number,NamesRanges,"Not Found")</f>
        <v>Joy</v>
      </c>
    </row>
    <row r="16" spans="2:10" x14ac:dyDescent="0.25">
      <c r="B16" s="152" t="s">
        <v>250</v>
      </c>
      <c r="C16" s="153" t="s">
        <v>251</v>
      </c>
      <c r="D16" s="153">
        <v>7602</v>
      </c>
      <c r="E16" s="153" t="s">
        <v>252</v>
      </c>
      <c r="F16" s="153" t="s">
        <v>246</v>
      </c>
      <c r="G16" s="154">
        <v>341183532540689</v>
      </c>
    </row>
    <row r="17" spans="2:10" x14ac:dyDescent="0.25">
      <c r="B17" s="152" t="s">
        <v>253</v>
      </c>
      <c r="C17" s="153" t="s">
        <v>254</v>
      </c>
      <c r="D17" s="153">
        <v>1187</v>
      </c>
      <c r="E17" s="153" t="s">
        <v>220</v>
      </c>
      <c r="F17" s="153" t="s">
        <v>246</v>
      </c>
      <c r="G17" s="154">
        <v>5225612130207006</v>
      </c>
      <c r="I17" s="43" t="s">
        <v>378</v>
      </c>
      <c r="J17">
        <f>MIN(Data.Number)</f>
        <v>89</v>
      </c>
    </row>
    <row r="18" spans="2:10" x14ac:dyDescent="0.25">
      <c r="B18" s="152" t="s">
        <v>255</v>
      </c>
      <c r="C18" s="153" t="s">
        <v>256</v>
      </c>
      <c r="D18" s="153">
        <v>5467</v>
      </c>
      <c r="E18" s="153" t="s">
        <v>257</v>
      </c>
      <c r="F18" s="153" t="s">
        <v>246</v>
      </c>
      <c r="G18" s="154">
        <v>5143326414111074</v>
      </c>
      <c r="I18" s="43" t="s">
        <v>377</v>
      </c>
      <c r="J18" s="166" t="str">
        <f>_xlfn.XLOOKUP($J$17,Data.Number,NamesRanges,"Not Found")</f>
        <v>Joy</v>
      </c>
    </row>
    <row r="19" spans="2:10" x14ac:dyDescent="0.25">
      <c r="B19" s="152" t="s">
        <v>258</v>
      </c>
      <c r="C19" s="153" t="s">
        <v>259</v>
      </c>
      <c r="D19" s="153">
        <v>8874</v>
      </c>
      <c r="E19" s="153" t="s">
        <v>260</v>
      </c>
      <c r="F19" s="153" t="s">
        <v>261</v>
      </c>
      <c r="G19" s="154">
        <v>5197602475285533</v>
      </c>
    </row>
    <row r="20" spans="2:10" x14ac:dyDescent="0.25">
      <c r="B20" s="152" t="s">
        <v>262</v>
      </c>
      <c r="C20" s="153" t="s">
        <v>263</v>
      </c>
      <c r="D20" s="153">
        <v>9951</v>
      </c>
      <c r="E20" s="153" t="s">
        <v>264</v>
      </c>
      <c r="F20" s="153" t="s">
        <v>265</v>
      </c>
      <c r="G20" s="154">
        <v>4103846476739275</v>
      </c>
      <c r="J20" s="169" t="s">
        <v>276</v>
      </c>
    </row>
    <row r="21" spans="2:10" x14ac:dyDescent="0.25">
      <c r="B21" s="152" t="s">
        <v>266</v>
      </c>
      <c r="C21" s="153" t="s">
        <v>267</v>
      </c>
      <c r="D21" s="153">
        <v>2703</v>
      </c>
      <c r="E21" s="153" t="s">
        <v>268</v>
      </c>
      <c r="F21" s="153" t="s">
        <v>269</v>
      </c>
      <c r="G21" s="154">
        <v>5139799568927848</v>
      </c>
      <c r="I21" s="43" t="s">
        <v>383</v>
      </c>
      <c r="J21" s="43" t="str">
        <f>VLOOKUP($J$20,$B$2:$F$49,4,FALSE)</f>
        <v>Saint Barthélemy</v>
      </c>
    </row>
    <row r="22" spans="2:10" x14ac:dyDescent="0.25">
      <c r="B22" s="152" t="s">
        <v>270</v>
      </c>
      <c r="C22" s="153" t="s">
        <v>271</v>
      </c>
      <c r="D22" s="153">
        <v>1117</v>
      </c>
      <c r="E22" s="153" t="s">
        <v>272</v>
      </c>
      <c r="F22" s="153" t="s">
        <v>210</v>
      </c>
      <c r="G22" s="154">
        <v>5151106567797256</v>
      </c>
    </row>
    <row r="23" spans="2:10" x14ac:dyDescent="0.25">
      <c r="B23" s="152" t="s">
        <v>273</v>
      </c>
      <c r="C23" s="153" t="s">
        <v>274</v>
      </c>
      <c r="D23" s="153">
        <v>9397</v>
      </c>
      <c r="E23" s="153" t="s">
        <v>275</v>
      </c>
      <c r="F23" s="153" t="s">
        <v>210</v>
      </c>
      <c r="G23" s="154">
        <v>343025112347678</v>
      </c>
      <c r="J23" s="148" t="str">
        <f>_xlfn.XLOOKUP(MaxValue,Data.Number,NamesRanges,"Not Found")</f>
        <v>Malachi</v>
      </c>
    </row>
    <row r="24" spans="2:10" x14ac:dyDescent="0.25">
      <c r="B24" s="152" t="s">
        <v>276</v>
      </c>
      <c r="C24" s="153" t="s">
        <v>277</v>
      </c>
      <c r="D24" s="153">
        <v>5064</v>
      </c>
      <c r="E24" s="153" t="s">
        <v>278</v>
      </c>
      <c r="F24" s="153" t="s">
        <v>210</v>
      </c>
      <c r="G24" s="154">
        <v>349939903719818</v>
      </c>
    </row>
    <row r="25" spans="2:10" x14ac:dyDescent="0.25">
      <c r="B25" s="152" t="s">
        <v>279</v>
      </c>
      <c r="C25" s="153" t="s">
        <v>280</v>
      </c>
      <c r="D25" s="153">
        <v>7924</v>
      </c>
      <c r="E25" s="153" t="s">
        <v>281</v>
      </c>
      <c r="F25" s="153" t="s">
        <v>210</v>
      </c>
      <c r="G25" s="154">
        <v>5355658052405348</v>
      </c>
    </row>
    <row r="26" spans="2:10" x14ac:dyDescent="0.25">
      <c r="B26" s="152" t="s">
        <v>282</v>
      </c>
      <c r="C26" s="153" t="s">
        <v>283</v>
      </c>
      <c r="D26" s="153">
        <v>1177</v>
      </c>
      <c r="E26" s="153" t="s">
        <v>284</v>
      </c>
      <c r="F26" s="153" t="s">
        <v>285</v>
      </c>
      <c r="G26" s="154">
        <v>345699269882404</v>
      </c>
    </row>
    <row r="27" spans="2:10" x14ac:dyDescent="0.25">
      <c r="B27" s="152" t="s">
        <v>286</v>
      </c>
      <c r="C27" s="153" t="s">
        <v>287</v>
      </c>
      <c r="D27" s="153">
        <v>6522</v>
      </c>
      <c r="E27" s="153" t="s">
        <v>288</v>
      </c>
      <c r="F27" s="153" t="s">
        <v>289</v>
      </c>
      <c r="G27" s="154">
        <v>5458015977572643</v>
      </c>
    </row>
    <row r="28" spans="2:10" x14ac:dyDescent="0.25">
      <c r="B28" s="152" t="s">
        <v>290</v>
      </c>
      <c r="C28" s="153" t="s">
        <v>291</v>
      </c>
      <c r="D28" s="153">
        <v>3466</v>
      </c>
      <c r="E28" s="153" t="s">
        <v>292</v>
      </c>
      <c r="F28" s="153" t="s">
        <v>289</v>
      </c>
      <c r="G28" s="154">
        <v>5280966912605791</v>
      </c>
    </row>
    <row r="29" spans="2:10" x14ac:dyDescent="0.25">
      <c r="B29" s="152" t="s">
        <v>293</v>
      </c>
      <c r="C29" s="153" t="s">
        <v>294</v>
      </c>
      <c r="D29" s="153">
        <v>6055</v>
      </c>
      <c r="E29" s="153" t="s">
        <v>295</v>
      </c>
      <c r="F29" s="153" t="s">
        <v>289</v>
      </c>
      <c r="G29" s="154">
        <v>5341513798339294</v>
      </c>
    </row>
    <row r="30" spans="2:10" x14ac:dyDescent="0.25">
      <c r="B30" s="152" t="s">
        <v>296</v>
      </c>
      <c r="C30" s="153" t="s">
        <v>297</v>
      </c>
      <c r="D30" s="153">
        <v>6088</v>
      </c>
      <c r="E30" s="153" t="s">
        <v>204</v>
      </c>
      <c r="F30" s="153" t="s">
        <v>289</v>
      </c>
      <c r="G30" s="154">
        <v>349840657485180</v>
      </c>
    </row>
    <row r="31" spans="2:10" x14ac:dyDescent="0.25">
      <c r="B31" s="152" t="s">
        <v>298</v>
      </c>
      <c r="C31" s="153" t="s">
        <v>299</v>
      </c>
      <c r="D31" s="153">
        <v>2532</v>
      </c>
      <c r="E31" s="153" t="s">
        <v>300</v>
      </c>
      <c r="F31" s="153" t="s">
        <v>301</v>
      </c>
      <c r="G31" s="154">
        <v>5359226264124737</v>
      </c>
    </row>
    <row r="32" spans="2:10" x14ac:dyDescent="0.25">
      <c r="B32" s="152" t="s">
        <v>302</v>
      </c>
      <c r="C32" s="153" t="s">
        <v>303</v>
      </c>
      <c r="D32" s="153">
        <v>8781</v>
      </c>
      <c r="E32" s="153" t="s">
        <v>304</v>
      </c>
      <c r="F32" s="153" t="s">
        <v>305</v>
      </c>
      <c r="G32" s="154">
        <v>5247881701840081</v>
      </c>
    </row>
    <row r="33" spans="2:7" x14ac:dyDescent="0.25">
      <c r="B33" s="152" t="s">
        <v>306</v>
      </c>
      <c r="C33" s="153" t="s">
        <v>307</v>
      </c>
      <c r="D33" s="153">
        <v>7905</v>
      </c>
      <c r="E33" s="153" t="s">
        <v>308</v>
      </c>
      <c r="F33" s="153" t="s">
        <v>309</v>
      </c>
      <c r="G33" s="154">
        <v>4278843502886599</v>
      </c>
    </row>
    <row r="34" spans="2:7" x14ac:dyDescent="0.25">
      <c r="B34" s="152" t="s">
        <v>310</v>
      </c>
      <c r="C34" s="153" t="s">
        <v>311</v>
      </c>
      <c r="D34" s="153">
        <v>1408</v>
      </c>
      <c r="E34" s="153" t="s">
        <v>312</v>
      </c>
      <c r="F34" s="153" t="s">
        <v>313</v>
      </c>
      <c r="G34" s="154">
        <v>5144047379195697</v>
      </c>
    </row>
    <row r="35" spans="2:7" x14ac:dyDescent="0.25">
      <c r="B35" s="152" t="s">
        <v>314</v>
      </c>
      <c r="C35" s="153" t="s">
        <v>315</v>
      </c>
      <c r="D35" s="153">
        <v>8589</v>
      </c>
      <c r="E35" s="153" t="s">
        <v>316</v>
      </c>
      <c r="F35" s="153" t="s">
        <v>317</v>
      </c>
      <c r="G35" s="154">
        <v>372359838186765</v>
      </c>
    </row>
    <row r="36" spans="2:7" x14ac:dyDescent="0.25">
      <c r="B36" s="152" t="s">
        <v>318</v>
      </c>
      <c r="C36" s="153" t="s">
        <v>319</v>
      </c>
      <c r="D36" s="153">
        <v>2226</v>
      </c>
      <c r="E36" s="153" t="s">
        <v>320</v>
      </c>
      <c r="F36" s="153" t="s">
        <v>305</v>
      </c>
      <c r="G36" s="154">
        <v>5185995403234841</v>
      </c>
    </row>
    <row r="37" spans="2:7" x14ac:dyDescent="0.25">
      <c r="B37" s="152" t="s">
        <v>276</v>
      </c>
      <c r="C37" s="153" t="s">
        <v>321</v>
      </c>
      <c r="D37" s="153">
        <v>1209</v>
      </c>
      <c r="E37" s="153" t="s">
        <v>322</v>
      </c>
      <c r="F37" s="153" t="s">
        <v>305</v>
      </c>
      <c r="G37" s="154">
        <v>377547849504744</v>
      </c>
    </row>
    <row r="38" spans="2:7" x14ac:dyDescent="0.25">
      <c r="B38" s="152" t="s">
        <v>323</v>
      </c>
      <c r="C38" s="153" t="s">
        <v>324</v>
      </c>
      <c r="D38" s="153">
        <v>1495</v>
      </c>
      <c r="E38" s="153" t="s">
        <v>325</v>
      </c>
      <c r="F38" s="153" t="s">
        <v>305</v>
      </c>
      <c r="G38" s="154">
        <v>5142290562088606</v>
      </c>
    </row>
    <row r="39" spans="2:7" x14ac:dyDescent="0.25">
      <c r="B39" s="152" t="s">
        <v>326</v>
      </c>
      <c r="C39" s="153" t="s">
        <v>327</v>
      </c>
      <c r="D39" s="153">
        <v>7342</v>
      </c>
      <c r="E39" s="153" t="s">
        <v>328</v>
      </c>
      <c r="F39" s="153" t="s">
        <v>305</v>
      </c>
      <c r="G39" s="154">
        <v>4784698706446217</v>
      </c>
    </row>
    <row r="40" spans="2:7" x14ac:dyDescent="0.25">
      <c r="B40" s="152" t="s">
        <v>329</v>
      </c>
      <c r="C40" s="153" t="s">
        <v>330</v>
      </c>
      <c r="D40" s="153">
        <v>4599</v>
      </c>
      <c r="E40" s="153" t="s">
        <v>331</v>
      </c>
      <c r="F40" s="153" t="s">
        <v>332</v>
      </c>
      <c r="G40" s="154">
        <v>345391839523334</v>
      </c>
    </row>
    <row r="41" spans="2:7" x14ac:dyDescent="0.25">
      <c r="B41" s="152" t="s">
        <v>333</v>
      </c>
      <c r="C41" s="153" t="s">
        <v>334</v>
      </c>
      <c r="D41" s="153">
        <v>6092</v>
      </c>
      <c r="E41" s="153" t="s">
        <v>335</v>
      </c>
      <c r="F41" s="153" t="s">
        <v>336</v>
      </c>
      <c r="G41" s="154">
        <v>379094263256992</v>
      </c>
    </row>
    <row r="42" spans="2:7" x14ac:dyDescent="0.25">
      <c r="B42" s="152" t="s">
        <v>337</v>
      </c>
      <c r="C42" s="153" t="s">
        <v>338</v>
      </c>
      <c r="D42" s="153">
        <v>7242</v>
      </c>
      <c r="E42" s="153" t="s">
        <v>339</v>
      </c>
      <c r="F42" s="153" t="s">
        <v>340</v>
      </c>
      <c r="G42" s="154">
        <v>5170818670904265</v>
      </c>
    </row>
    <row r="43" spans="2:7" x14ac:dyDescent="0.25">
      <c r="B43" s="152" t="s">
        <v>341</v>
      </c>
      <c r="C43" s="153" t="s">
        <v>342</v>
      </c>
      <c r="D43" s="153">
        <v>888</v>
      </c>
      <c r="E43" s="153" t="s">
        <v>343</v>
      </c>
      <c r="F43" s="153" t="s">
        <v>344</v>
      </c>
      <c r="G43" s="154">
        <v>348107287339861</v>
      </c>
    </row>
    <row r="44" spans="2:7" x14ac:dyDescent="0.25">
      <c r="B44" s="152" t="s">
        <v>345</v>
      </c>
      <c r="C44" s="153" t="s">
        <v>346</v>
      </c>
      <c r="D44" s="153">
        <v>2700</v>
      </c>
      <c r="E44" s="153" t="s">
        <v>347</v>
      </c>
      <c r="F44" s="153" t="s">
        <v>348</v>
      </c>
      <c r="G44" s="154">
        <v>5298193172351453</v>
      </c>
    </row>
    <row r="45" spans="2:7" x14ac:dyDescent="0.25">
      <c r="B45" s="152" t="s">
        <v>349</v>
      </c>
      <c r="C45" s="153" t="s">
        <v>350</v>
      </c>
      <c r="D45" s="153">
        <v>6825</v>
      </c>
      <c r="E45" s="153" t="s">
        <v>351</v>
      </c>
      <c r="F45" s="153" t="s">
        <v>352</v>
      </c>
      <c r="G45" s="154">
        <v>5121364598469800</v>
      </c>
    </row>
    <row r="46" spans="2:7" x14ac:dyDescent="0.25">
      <c r="B46" s="152" t="s">
        <v>353</v>
      </c>
      <c r="C46" s="153" t="s">
        <v>354</v>
      </c>
      <c r="D46" s="153">
        <v>5814</v>
      </c>
      <c r="E46" s="153" t="s">
        <v>355</v>
      </c>
      <c r="F46" s="153" t="s">
        <v>356</v>
      </c>
      <c r="G46" s="154">
        <v>4883317238790919</v>
      </c>
    </row>
    <row r="47" spans="2:7" x14ac:dyDescent="0.25">
      <c r="B47" s="152" t="s">
        <v>357</v>
      </c>
      <c r="C47" s="153" t="s">
        <v>358</v>
      </c>
      <c r="D47" s="153">
        <v>1059</v>
      </c>
      <c r="E47" s="153" t="s">
        <v>359</v>
      </c>
      <c r="F47" s="153" t="s">
        <v>360</v>
      </c>
      <c r="G47" s="154">
        <v>5110028497800238</v>
      </c>
    </row>
    <row r="48" spans="2:7" x14ac:dyDescent="0.25">
      <c r="B48" s="152" t="s">
        <v>361</v>
      </c>
      <c r="C48" s="153" t="s">
        <v>362</v>
      </c>
      <c r="D48" s="153">
        <v>89</v>
      </c>
      <c r="E48" s="153" t="s">
        <v>363</v>
      </c>
      <c r="F48" s="153" t="s">
        <v>364</v>
      </c>
      <c r="G48" s="154">
        <v>373697672867682</v>
      </c>
    </row>
    <row r="49" spans="2:7" x14ac:dyDescent="0.25">
      <c r="B49" s="152" t="s">
        <v>365</v>
      </c>
      <c r="C49" s="153" t="s">
        <v>366</v>
      </c>
      <c r="D49" s="153">
        <v>2029</v>
      </c>
      <c r="E49" s="153" t="s">
        <v>367</v>
      </c>
      <c r="F49" s="153" t="s">
        <v>348</v>
      </c>
      <c r="G49" s="154">
        <v>343165813799011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2833-C751-4A8B-AC34-9D13A3F0D8BB}">
  <dimension ref="B3:D17"/>
  <sheetViews>
    <sheetView workbookViewId="0">
      <selection activeCell="G10" sqref="G10"/>
    </sheetView>
  </sheetViews>
  <sheetFormatPr defaultColWidth="9" defaultRowHeight="16.5" x14ac:dyDescent="0.3"/>
  <cols>
    <col min="1" max="1" width="3.7109375" style="155" customWidth="1"/>
    <col min="2" max="2" width="3.28515625" style="155" customWidth="1"/>
    <col min="3" max="3" width="2.28515625" style="155" customWidth="1"/>
    <col min="4" max="16384" width="9" style="155"/>
  </cols>
  <sheetData>
    <row r="3" spans="2:4" x14ac:dyDescent="0.3">
      <c r="D3" s="155" t="s">
        <v>368</v>
      </c>
    </row>
    <row r="9" spans="2:4" x14ac:dyDescent="0.3">
      <c r="B9" s="155" t="s">
        <v>369</v>
      </c>
    </row>
    <row r="10" spans="2:4" x14ac:dyDescent="0.3">
      <c r="D10" s="155" t="s">
        <v>370</v>
      </c>
    </row>
    <row r="11" spans="2:4" x14ac:dyDescent="0.3">
      <c r="D11" s="155" t="s">
        <v>371</v>
      </c>
    </row>
    <row r="12" spans="2:4" x14ac:dyDescent="0.3">
      <c r="D12" s="155" t="s">
        <v>372</v>
      </c>
    </row>
    <row r="13" spans="2:4" x14ac:dyDescent="0.3">
      <c r="D13" s="155" t="s">
        <v>373</v>
      </c>
    </row>
    <row r="14" spans="2:4" x14ac:dyDescent="0.3">
      <c r="D14" s="155" t="s">
        <v>374</v>
      </c>
    </row>
    <row r="17" spans="4:4" x14ac:dyDescent="0.3">
      <c r="D17" s="155" t="str">
        <f>INDEX(D10:D14,3)</f>
        <v>Use the Name Manager (Formulas &gt; Name Manager) to edit named ranges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29EA-16C2-41A3-866E-5077BB4B2E0F}">
  <dimension ref="A1:Q15"/>
  <sheetViews>
    <sheetView zoomScale="128" workbookViewId="0">
      <selection activeCell="L1" sqref="L1"/>
    </sheetView>
  </sheetViews>
  <sheetFormatPr defaultRowHeight="15" x14ac:dyDescent="0.25"/>
  <cols>
    <col min="10" max="10" width="14" customWidth="1"/>
    <col min="13" max="13" width="11.85546875" bestFit="1" customWidth="1"/>
  </cols>
  <sheetData>
    <row r="1" spans="1:17" x14ac:dyDescent="0.25">
      <c r="A1" s="43"/>
    </row>
    <row r="3" spans="1:17" x14ac:dyDescent="0.25">
      <c r="C3" s="66" t="s">
        <v>144</v>
      </c>
      <c r="D3" s="66" t="s">
        <v>145</v>
      </c>
      <c r="E3" s="66" t="s">
        <v>146</v>
      </c>
      <c r="F3" s="66" t="s">
        <v>36</v>
      </c>
      <c r="G3" s="66" t="s">
        <v>147</v>
      </c>
      <c r="H3" s="66" t="s">
        <v>148</v>
      </c>
      <c r="I3" s="66" t="s">
        <v>149</v>
      </c>
    </row>
    <row r="4" spans="1:17" x14ac:dyDescent="0.25">
      <c r="B4" s="43" t="s">
        <v>30</v>
      </c>
      <c r="C4">
        <v>326</v>
      </c>
      <c r="D4">
        <v>880</v>
      </c>
      <c r="E4">
        <v>42</v>
      </c>
      <c r="F4">
        <v>59</v>
      </c>
      <c r="G4">
        <v>745</v>
      </c>
      <c r="H4">
        <v>621</v>
      </c>
      <c r="I4">
        <v>960</v>
      </c>
    </row>
    <row r="5" spans="1:17" x14ac:dyDescent="0.25">
      <c r="B5" s="43" t="s">
        <v>31</v>
      </c>
      <c r="C5">
        <v>974</v>
      </c>
      <c r="D5">
        <v>830</v>
      </c>
      <c r="E5">
        <v>414</v>
      </c>
      <c r="F5">
        <v>462</v>
      </c>
      <c r="G5">
        <v>670</v>
      </c>
      <c r="H5">
        <v>551</v>
      </c>
      <c r="I5">
        <v>60</v>
      </c>
    </row>
    <row r="6" spans="1:17" x14ac:dyDescent="0.25">
      <c r="B6" s="43" t="s">
        <v>32</v>
      </c>
      <c r="C6">
        <v>201</v>
      </c>
      <c r="D6">
        <v>747</v>
      </c>
      <c r="E6">
        <v>388</v>
      </c>
      <c r="F6">
        <v>748</v>
      </c>
      <c r="G6">
        <v>163</v>
      </c>
      <c r="H6">
        <v>135</v>
      </c>
      <c r="I6">
        <v>32</v>
      </c>
    </row>
    <row r="7" spans="1:17" x14ac:dyDescent="0.25">
      <c r="B7" s="43" t="s">
        <v>33</v>
      </c>
      <c r="C7">
        <v>413</v>
      </c>
      <c r="D7">
        <v>914</v>
      </c>
      <c r="E7">
        <v>560</v>
      </c>
      <c r="F7">
        <v>331</v>
      </c>
      <c r="G7">
        <v>277</v>
      </c>
      <c r="H7">
        <v>639</v>
      </c>
      <c r="I7">
        <v>685</v>
      </c>
    </row>
    <row r="10" spans="1:17" x14ac:dyDescent="0.25">
      <c r="B10" s="43" t="s">
        <v>150</v>
      </c>
    </row>
    <row r="11" spans="1:17" x14ac:dyDescent="0.25">
      <c r="K11" s="59" t="s">
        <v>137</v>
      </c>
      <c r="L11" s="59" t="s">
        <v>137</v>
      </c>
      <c r="M11" s="59" t="s">
        <v>151</v>
      </c>
      <c r="O11" s="43" t="s">
        <v>137</v>
      </c>
      <c r="P11" s="43" t="s">
        <v>137</v>
      </c>
      <c r="Q11" s="43" t="s">
        <v>151</v>
      </c>
    </row>
    <row r="12" spans="1:17" x14ac:dyDescent="0.25">
      <c r="B12" t="s">
        <v>152</v>
      </c>
      <c r="K12" s="120">
        <f>SUM(F4:$F$7:$H$4:$H$7)</f>
        <v>5401</v>
      </c>
      <c r="L12" s="120">
        <f>SUM(April:June)</f>
        <v>5401</v>
      </c>
      <c r="M12" s="38">
        <v>5401</v>
      </c>
      <c r="O12">
        <f>SUM(April:June)</f>
        <v>5401</v>
      </c>
      <c r="P12">
        <f>SUM(April:June)</f>
        <v>5401</v>
      </c>
      <c r="Q12">
        <v>5401</v>
      </c>
    </row>
    <row r="13" spans="1:17" x14ac:dyDescent="0.25">
      <c r="B13" t="s">
        <v>153</v>
      </c>
      <c r="K13" s="120">
        <f>SUM(North,West)</f>
        <v>7452</v>
      </c>
      <c r="L13" s="120">
        <f>SUM(North,West)</f>
        <v>7452</v>
      </c>
      <c r="M13" s="38">
        <v>7452</v>
      </c>
      <c r="O13">
        <f>SUM(North,West)</f>
        <v>7452</v>
      </c>
      <c r="P13">
        <f>SUM(North,West)</f>
        <v>7452</v>
      </c>
      <c r="Q13">
        <v>7452</v>
      </c>
    </row>
    <row r="14" spans="1:17" x14ac:dyDescent="0.25">
      <c r="B14" t="s">
        <v>154</v>
      </c>
      <c r="K14" s="120">
        <f>SUM(March:(May)  South)</f>
        <v>1546</v>
      </c>
      <c r="L14" s="120">
        <f>SUM(March:(May)  South)</f>
        <v>1546</v>
      </c>
      <c r="M14" s="38">
        <v>1546</v>
      </c>
      <c r="O14">
        <f>SUM(March:(May) South)</f>
        <v>1546</v>
      </c>
      <c r="P14">
        <f>SUM(March:(May) South)</f>
        <v>1546</v>
      </c>
      <c r="Q14">
        <v>1546</v>
      </c>
    </row>
    <row r="15" spans="1:17" x14ac:dyDescent="0.25">
      <c r="B15" t="s">
        <v>155</v>
      </c>
      <c r="K15" s="120">
        <f>SUM(March South,June North)</f>
        <v>1035</v>
      </c>
      <c r="L15" s="120">
        <f>SUM(March South,June North)</f>
        <v>1035</v>
      </c>
      <c r="M15" s="38">
        <v>1035</v>
      </c>
      <c r="O15">
        <f>SUM(March South,June North)</f>
        <v>1035</v>
      </c>
      <c r="P15">
        <f>SUM(March South,June North)</f>
        <v>1035</v>
      </c>
      <c r="Q15">
        <v>1035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D9CE-F7CA-4325-AB8D-42A84CF8645B}">
  <dimension ref="B2:I49"/>
  <sheetViews>
    <sheetView workbookViewId="0"/>
  </sheetViews>
  <sheetFormatPr defaultRowHeight="15" x14ac:dyDescent="0.25"/>
  <cols>
    <col min="2" max="2" width="8.5703125" bestFit="1" customWidth="1"/>
    <col min="3" max="3" width="31.7109375" bestFit="1" customWidth="1"/>
    <col min="4" max="4" width="18.42578125" bestFit="1" customWidth="1"/>
    <col min="5" max="5" width="36.7109375" bestFit="1" customWidth="1"/>
    <col min="6" max="6" width="34.7109375" bestFit="1" customWidth="1"/>
    <col min="7" max="7" width="19.140625" bestFit="1" customWidth="1"/>
    <col min="9" max="9" width="22" customWidth="1"/>
  </cols>
  <sheetData>
    <row r="2" spans="2:9" x14ac:dyDescent="0.25">
      <c r="B2" s="149" t="s">
        <v>196</v>
      </c>
      <c r="C2" s="150" t="s">
        <v>197</v>
      </c>
      <c r="D2" s="150" t="s">
        <v>198</v>
      </c>
      <c r="E2" s="150" t="s">
        <v>199</v>
      </c>
      <c r="F2" s="150" t="s">
        <v>200</v>
      </c>
      <c r="G2" s="151" t="s">
        <v>201</v>
      </c>
    </row>
    <row r="3" spans="2:9" x14ac:dyDescent="0.25">
      <c r="B3" s="152" t="s">
        <v>202</v>
      </c>
      <c r="C3" s="153" t="s">
        <v>203</v>
      </c>
      <c r="D3" s="153">
        <v>5318</v>
      </c>
      <c r="E3" s="153" t="s">
        <v>204</v>
      </c>
      <c r="F3" s="153" t="s">
        <v>205</v>
      </c>
      <c r="G3" s="154">
        <v>5384821115070951</v>
      </c>
      <c r="I3" t="s">
        <v>206</v>
      </c>
    </row>
    <row r="4" spans="2:9" x14ac:dyDescent="0.25">
      <c r="B4" s="152" t="s">
        <v>207</v>
      </c>
      <c r="C4" s="153" t="s">
        <v>208</v>
      </c>
      <c r="D4" s="153">
        <v>1811</v>
      </c>
      <c r="E4" s="153" t="s">
        <v>209</v>
      </c>
      <c r="F4" s="153" t="s">
        <v>210</v>
      </c>
      <c r="G4" s="154">
        <v>5375716680027546</v>
      </c>
      <c r="I4" s="43" t="s">
        <v>211</v>
      </c>
    </row>
    <row r="5" spans="2:9" x14ac:dyDescent="0.25">
      <c r="B5" s="152" t="s">
        <v>212</v>
      </c>
      <c r="C5" s="153" t="s">
        <v>213</v>
      </c>
      <c r="D5" s="153">
        <v>6654</v>
      </c>
      <c r="E5" s="153" t="s">
        <v>214</v>
      </c>
      <c r="F5" s="153" t="s">
        <v>210</v>
      </c>
      <c r="G5" s="154">
        <v>5368111052946187</v>
      </c>
    </row>
    <row r="6" spans="2:9" x14ac:dyDescent="0.25">
      <c r="B6" s="152" t="s">
        <v>215</v>
      </c>
      <c r="C6" s="153" t="s">
        <v>216</v>
      </c>
      <c r="D6" s="153">
        <v>4300</v>
      </c>
      <c r="E6" s="153" t="s">
        <v>217</v>
      </c>
      <c r="F6" s="153" t="s">
        <v>210</v>
      </c>
      <c r="G6" s="154">
        <v>374143111580983</v>
      </c>
    </row>
    <row r="7" spans="2:9" x14ac:dyDescent="0.25">
      <c r="B7" s="152" t="s">
        <v>218</v>
      </c>
      <c r="C7" s="153" t="s">
        <v>219</v>
      </c>
      <c r="D7" s="153">
        <v>4473</v>
      </c>
      <c r="E7" s="153" t="s">
        <v>220</v>
      </c>
      <c r="F7" s="153" t="s">
        <v>210</v>
      </c>
      <c r="G7" s="154">
        <v>342869218022092</v>
      </c>
    </row>
    <row r="8" spans="2:9" x14ac:dyDescent="0.25">
      <c r="B8" s="152" t="s">
        <v>221</v>
      </c>
      <c r="C8" s="153" t="s">
        <v>222</v>
      </c>
      <c r="D8" s="153">
        <v>5201</v>
      </c>
      <c r="E8" s="153" t="s">
        <v>223</v>
      </c>
      <c r="F8" s="153" t="s">
        <v>224</v>
      </c>
      <c r="G8" s="154">
        <v>5392474467409771</v>
      </c>
    </row>
    <row r="9" spans="2:9" x14ac:dyDescent="0.25">
      <c r="B9" s="152" t="s">
        <v>225</v>
      </c>
      <c r="C9" s="153" t="s">
        <v>226</v>
      </c>
      <c r="D9" s="153">
        <v>2760</v>
      </c>
      <c r="E9" s="153" t="s">
        <v>227</v>
      </c>
      <c r="F9" s="153" t="s">
        <v>228</v>
      </c>
      <c r="G9" s="154">
        <v>5178439900185916</v>
      </c>
    </row>
    <row r="10" spans="2:9" x14ac:dyDescent="0.25">
      <c r="B10" s="152" t="s">
        <v>229</v>
      </c>
      <c r="C10" s="153" t="s">
        <v>230</v>
      </c>
      <c r="D10" s="153">
        <v>7106</v>
      </c>
      <c r="E10" s="153" t="s">
        <v>231</v>
      </c>
      <c r="F10" s="153" t="s">
        <v>232</v>
      </c>
      <c r="G10" s="154">
        <v>345865207048137</v>
      </c>
      <c r="I10" s="43"/>
    </row>
    <row r="11" spans="2:9" x14ac:dyDescent="0.25">
      <c r="B11" s="152" t="s">
        <v>233</v>
      </c>
      <c r="C11" s="153" t="s">
        <v>234</v>
      </c>
      <c r="D11" s="153">
        <v>9184</v>
      </c>
      <c r="E11" s="153" t="s">
        <v>223</v>
      </c>
      <c r="F11" s="153" t="s">
        <v>235</v>
      </c>
      <c r="G11" s="154">
        <v>4923488002177320</v>
      </c>
    </row>
    <row r="12" spans="2:9" x14ac:dyDescent="0.25">
      <c r="B12" s="152" t="s">
        <v>236</v>
      </c>
      <c r="C12" s="153" t="s">
        <v>237</v>
      </c>
      <c r="D12" s="153">
        <v>7319</v>
      </c>
      <c r="E12" s="153" t="s">
        <v>238</v>
      </c>
      <c r="F12" s="153" t="s">
        <v>239</v>
      </c>
      <c r="G12" s="154">
        <v>5337154478123415</v>
      </c>
    </row>
    <row r="13" spans="2:9" x14ac:dyDescent="0.25">
      <c r="B13" s="152" t="s">
        <v>240</v>
      </c>
      <c r="C13" s="153" t="s">
        <v>241</v>
      </c>
      <c r="D13" s="153">
        <v>6476</v>
      </c>
      <c r="E13" s="153" t="s">
        <v>242</v>
      </c>
      <c r="F13" s="153" t="s">
        <v>239</v>
      </c>
      <c r="G13" s="154">
        <v>371725053978156</v>
      </c>
    </row>
    <row r="14" spans="2:9" x14ac:dyDescent="0.25">
      <c r="B14" s="152" t="s">
        <v>243</v>
      </c>
      <c r="C14" s="153" t="s">
        <v>244</v>
      </c>
      <c r="D14" s="153">
        <v>3629</v>
      </c>
      <c r="E14" s="153" t="s">
        <v>245</v>
      </c>
      <c r="F14" s="153" t="s">
        <v>246</v>
      </c>
      <c r="G14" s="154">
        <v>345054592756554</v>
      </c>
    </row>
    <row r="15" spans="2:9" x14ac:dyDescent="0.25">
      <c r="B15" s="152" t="s">
        <v>247</v>
      </c>
      <c r="C15" s="153" t="s">
        <v>248</v>
      </c>
      <c r="D15" s="153">
        <v>5388</v>
      </c>
      <c r="E15" s="153" t="s">
        <v>249</v>
      </c>
      <c r="F15" s="153" t="s">
        <v>246</v>
      </c>
      <c r="G15" s="154">
        <v>5217258850480421</v>
      </c>
    </row>
    <row r="16" spans="2:9" x14ac:dyDescent="0.25">
      <c r="B16" s="152" t="s">
        <v>250</v>
      </c>
      <c r="C16" s="153" t="s">
        <v>251</v>
      </c>
      <c r="D16" s="153">
        <v>7602</v>
      </c>
      <c r="E16" s="153" t="s">
        <v>252</v>
      </c>
      <c r="F16" s="153" t="s">
        <v>246</v>
      </c>
      <c r="G16" s="154">
        <v>341183532540689</v>
      </c>
    </row>
    <row r="17" spans="2:7" x14ac:dyDescent="0.25">
      <c r="B17" s="152" t="s">
        <v>253</v>
      </c>
      <c r="C17" s="153" t="s">
        <v>254</v>
      </c>
      <c r="D17" s="153">
        <v>1187</v>
      </c>
      <c r="E17" s="153" t="s">
        <v>220</v>
      </c>
      <c r="F17" s="153" t="s">
        <v>246</v>
      </c>
      <c r="G17" s="154">
        <v>5225612130207006</v>
      </c>
    </row>
    <row r="18" spans="2:7" x14ac:dyDescent="0.25">
      <c r="B18" s="152" t="s">
        <v>255</v>
      </c>
      <c r="C18" s="153" t="s">
        <v>256</v>
      </c>
      <c r="D18" s="153">
        <v>5467</v>
      </c>
      <c r="E18" s="153" t="s">
        <v>257</v>
      </c>
      <c r="F18" s="153" t="s">
        <v>246</v>
      </c>
      <c r="G18" s="154">
        <v>5143326414111074</v>
      </c>
    </row>
    <row r="19" spans="2:7" x14ac:dyDescent="0.25">
      <c r="B19" s="152" t="s">
        <v>258</v>
      </c>
      <c r="C19" s="153" t="s">
        <v>259</v>
      </c>
      <c r="D19" s="153">
        <v>8874</v>
      </c>
      <c r="E19" s="153" t="s">
        <v>260</v>
      </c>
      <c r="F19" s="153" t="s">
        <v>261</v>
      </c>
      <c r="G19" s="154">
        <v>5197602475285533</v>
      </c>
    </row>
    <row r="20" spans="2:7" x14ac:dyDescent="0.25">
      <c r="B20" s="152" t="s">
        <v>262</v>
      </c>
      <c r="C20" s="153" t="s">
        <v>263</v>
      </c>
      <c r="D20" s="153">
        <v>9951</v>
      </c>
      <c r="E20" s="153" t="s">
        <v>264</v>
      </c>
      <c r="F20" s="153" t="s">
        <v>265</v>
      </c>
      <c r="G20" s="154">
        <v>4103846476739275</v>
      </c>
    </row>
    <row r="21" spans="2:7" x14ac:dyDescent="0.25">
      <c r="B21" s="152" t="s">
        <v>266</v>
      </c>
      <c r="C21" s="153" t="s">
        <v>267</v>
      </c>
      <c r="D21" s="153">
        <v>2703</v>
      </c>
      <c r="E21" s="153" t="s">
        <v>268</v>
      </c>
      <c r="F21" s="153" t="s">
        <v>269</v>
      </c>
      <c r="G21" s="154">
        <v>5139799568927848</v>
      </c>
    </row>
    <row r="22" spans="2:7" x14ac:dyDescent="0.25">
      <c r="B22" s="152" t="s">
        <v>270</v>
      </c>
      <c r="C22" s="153" t="s">
        <v>271</v>
      </c>
      <c r="D22" s="153">
        <v>1117</v>
      </c>
      <c r="E22" s="153" t="s">
        <v>272</v>
      </c>
      <c r="F22" s="153" t="s">
        <v>210</v>
      </c>
      <c r="G22" s="154">
        <v>5151106567797256</v>
      </c>
    </row>
    <row r="23" spans="2:7" x14ac:dyDescent="0.25">
      <c r="B23" s="152" t="s">
        <v>273</v>
      </c>
      <c r="C23" s="153" t="s">
        <v>274</v>
      </c>
      <c r="D23" s="153">
        <v>9397</v>
      </c>
      <c r="E23" s="153" t="s">
        <v>275</v>
      </c>
      <c r="F23" s="153" t="s">
        <v>210</v>
      </c>
      <c r="G23" s="154">
        <v>343025112347678</v>
      </c>
    </row>
    <row r="24" spans="2:7" x14ac:dyDescent="0.25">
      <c r="B24" s="152" t="s">
        <v>276</v>
      </c>
      <c r="C24" s="153" t="s">
        <v>277</v>
      </c>
      <c r="D24" s="153">
        <v>5064</v>
      </c>
      <c r="E24" s="153" t="s">
        <v>278</v>
      </c>
      <c r="F24" s="153" t="s">
        <v>210</v>
      </c>
      <c r="G24" s="154">
        <v>349939903719818</v>
      </c>
    </row>
    <row r="25" spans="2:7" x14ac:dyDescent="0.25">
      <c r="B25" s="152" t="s">
        <v>279</v>
      </c>
      <c r="C25" s="153" t="s">
        <v>280</v>
      </c>
      <c r="D25" s="153">
        <v>7924</v>
      </c>
      <c r="E25" s="153" t="s">
        <v>281</v>
      </c>
      <c r="F25" s="153" t="s">
        <v>210</v>
      </c>
      <c r="G25" s="154">
        <v>5355658052405348</v>
      </c>
    </row>
    <row r="26" spans="2:7" x14ac:dyDescent="0.25">
      <c r="B26" s="152" t="s">
        <v>282</v>
      </c>
      <c r="C26" s="153" t="s">
        <v>283</v>
      </c>
      <c r="D26" s="153">
        <v>1177</v>
      </c>
      <c r="E26" s="153" t="s">
        <v>284</v>
      </c>
      <c r="F26" s="153" t="s">
        <v>285</v>
      </c>
      <c r="G26" s="154">
        <v>345699269882404</v>
      </c>
    </row>
    <row r="27" spans="2:7" x14ac:dyDescent="0.25">
      <c r="B27" s="152" t="s">
        <v>286</v>
      </c>
      <c r="C27" s="153" t="s">
        <v>287</v>
      </c>
      <c r="D27" s="153">
        <v>6522</v>
      </c>
      <c r="E27" s="153" t="s">
        <v>288</v>
      </c>
      <c r="F27" s="153" t="s">
        <v>289</v>
      </c>
      <c r="G27" s="154">
        <v>5458015977572643</v>
      </c>
    </row>
    <row r="28" spans="2:7" x14ac:dyDescent="0.25">
      <c r="B28" s="152" t="s">
        <v>290</v>
      </c>
      <c r="C28" s="153" t="s">
        <v>291</v>
      </c>
      <c r="D28" s="153">
        <v>3466</v>
      </c>
      <c r="E28" s="153" t="s">
        <v>292</v>
      </c>
      <c r="F28" s="153" t="s">
        <v>289</v>
      </c>
      <c r="G28" s="154">
        <v>5280966912605791</v>
      </c>
    </row>
    <row r="29" spans="2:7" x14ac:dyDescent="0.25">
      <c r="B29" s="152" t="s">
        <v>293</v>
      </c>
      <c r="C29" s="153" t="s">
        <v>294</v>
      </c>
      <c r="D29" s="153">
        <v>6055</v>
      </c>
      <c r="E29" s="153" t="s">
        <v>295</v>
      </c>
      <c r="F29" s="153" t="s">
        <v>289</v>
      </c>
      <c r="G29" s="154">
        <v>5341513798339294</v>
      </c>
    </row>
    <row r="30" spans="2:7" x14ac:dyDescent="0.25">
      <c r="B30" s="152" t="s">
        <v>296</v>
      </c>
      <c r="C30" s="153" t="s">
        <v>297</v>
      </c>
      <c r="D30" s="153">
        <v>6088</v>
      </c>
      <c r="E30" s="153" t="s">
        <v>204</v>
      </c>
      <c r="F30" s="153" t="s">
        <v>289</v>
      </c>
      <c r="G30" s="154">
        <v>349840657485180</v>
      </c>
    </row>
    <row r="31" spans="2:7" x14ac:dyDescent="0.25">
      <c r="B31" s="152" t="s">
        <v>298</v>
      </c>
      <c r="C31" s="153" t="s">
        <v>299</v>
      </c>
      <c r="D31" s="153">
        <v>2532</v>
      </c>
      <c r="E31" s="153" t="s">
        <v>300</v>
      </c>
      <c r="F31" s="153" t="s">
        <v>301</v>
      </c>
      <c r="G31" s="154">
        <v>5359226264124737</v>
      </c>
    </row>
    <row r="32" spans="2:7" x14ac:dyDescent="0.25">
      <c r="B32" s="152" t="s">
        <v>302</v>
      </c>
      <c r="C32" s="153" t="s">
        <v>303</v>
      </c>
      <c r="D32" s="153">
        <v>8781</v>
      </c>
      <c r="E32" s="153" t="s">
        <v>304</v>
      </c>
      <c r="F32" s="153" t="s">
        <v>305</v>
      </c>
      <c r="G32" s="154">
        <v>5247881701840081</v>
      </c>
    </row>
    <row r="33" spans="2:7" x14ac:dyDescent="0.25">
      <c r="B33" s="152" t="s">
        <v>306</v>
      </c>
      <c r="C33" s="153" t="s">
        <v>307</v>
      </c>
      <c r="D33" s="153">
        <v>7905</v>
      </c>
      <c r="E33" s="153" t="s">
        <v>308</v>
      </c>
      <c r="F33" s="153" t="s">
        <v>309</v>
      </c>
      <c r="G33" s="154">
        <v>4278843502886599</v>
      </c>
    </row>
    <row r="34" spans="2:7" x14ac:dyDescent="0.25">
      <c r="B34" s="152" t="s">
        <v>310</v>
      </c>
      <c r="C34" s="153" t="s">
        <v>311</v>
      </c>
      <c r="D34" s="153">
        <v>1408</v>
      </c>
      <c r="E34" s="153" t="s">
        <v>312</v>
      </c>
      <c r="F34" s="153" t="s">
        <v>313</v>
      </c>
      <c r="G34" s="154">
        <v>5144047379195697</v>
      </c>
    </row>
    <row r="35" spans="2:7" x14ac:dyDescent="0.25">
      <c r="B35" s="152" t="s">
        <v>314</v>
      </c>
      <c r="C35" s="153" t="s">
        <v>315</v>
      </c>
      <c r="D35" s="153">
        <v>8589</v>
      </c>
      <c r="E35" s="153" t="s">
        <v>316</v>
      </c>
      <c r="F35" s="153" t="s">
        <v>317</v>
      </c>
      <c r="G35" s="154">
        <v>372359838186765</v>
      </c>
    </row>
    <row r="36" spans="2:7" x14ac:dyDescent="0.25">
      <c r="B36" s="152" t="s">
        <v>318</v>
      </c>
      <c r="C36" s="153" t="s">
        <v>319</v>
      </c>
      <c r="D36" s="153">
        <v>2226</v>
      </c>
      <c r="E36" s="153" t="s">
        <v>320</v>
      </c>
      <c r="F36" s="153" t="s">
        <v>305</v>
      </c>
      <c r="G36" s="154">
        <v>5185995403234841</v>
      </c>
    </row>
    <row r="37" spans="2:7" x14ac:dyDescent="0.25">
      <c r="B37" s="152" t="s">
        <v>276</v>
      </c>
      <c r="C37" s="153" t="s">
        <v>321</v>
      </c>
      <c r="D37" s="153">
        <v>1209</v>
      </c>
      <c r="E37" s="153" t="s">
        <v>322</v>
      </c>
      <c r="F37" s="153" t="s">
        <v>305</v>
      </c>
      <c r="G37" s="154">
        <v>377547849504744</v>
      </c>
    </row>
    <row r="38" spans="2:7" x14ac:dyDescent="0.25">
      <c r="B38" s="152" t="s">
        <v>323</v>
      </c>
      <c r="C38" s="153" t="s">
        <v>324</v>
      </c>
      <c r="D38" s="153">
        <v>1495</v>
      </c>
      <c r="E38" s="153" t="s">
        <v>325</v>
      </c>
      <c r="F38" s="153" t="s">
        <v>305</v>
      </c>
      <c r="G38" s="154">
        <v>5142290562088606</v>
      </c>
    </row>
    <row r="39" spans="2:7" x14ac:dyDescent="0.25">
      <c r="B39" s="152" t="s">
        <v>326</v>
      </c>
      <c r="C39" s="153" t="s">
        <v>327</v>
      </c>
      <c r="D39" s="153">
        <v>7342</v>
      </c>
      <c r="E39" s="153" t="s">
        <v>328</v>
      </c>
      <c r="F39" s="153" t="s">
        <v>305</v>
      </c>
      <c r="G39" s="154">
        <v>4784698706446217</v>
      </c>
    </row>
    <row r="40" spans="2:7" x14ac:dyDescent="0.25">
      <c r="B40" s="152" t="s">
        <v>329</v>
      </c>
      <c r="C40" s="153" t="s">
        <v>330</v>
      </c>
      <c r="D40" s="153">
        <v>4599</v>
      </c>
      <c r="E40" s="153" t="s">
        <v>331</v>
      </c>
      <c r="F40" s="153" t="s">
        <v>332</v>
      </c>
      <c r="G40" s="154">
        <v>345391839523334</v>
      </c>
    </row>
    <row r="41" spans="2:7" x14ac:dyDescent="0.25">
      <c r="B41" s="152" t="s">
        <v>333</v>
      </c>
      <c r="C41" s="153" t="s">
        <v>334</v>
      </c>
      <c r="D41" s="153">
        <v>6092</v>
      </c>
      <c r="E41" s="153" t="s">
        <v>335</v>
      </c>
      <c r="F41" s="153" t="s">
        <v>336</v>
      </c>
      <c r="G41" s="154">
        <v>379094263256992</v>
      </c>
    </row>
    <row r="42" spans="2:7" x14ac:dyDescent="0.25">
      <c r="B42" s="152" t="s">
        <v>337</v>
      </c>
      <c r="C42" s="153" t="s">
        <v>338</v>
      </c>
      <c r="D42" s="153">
        <v>7242</v>
      </c>
      <c r="E42" s="153" t="s">
        <v>339</v>
      </c>
      <c r="F42" s="153" t="s">
        <v>340</v>
      </c>
      <c r="G42" s="154">
        <v>5170818670904265</v>
      </c>
    </row>
    <row r="43" spans="2:7" x14ac:dyDescent="0.25">
      <c r="B43" s="152" t="s">
        <v>341</v>
      </c>
      <c r="C43" s="153" t="s">
        <v>342</v>
      </c>
      <c r="D43" s="153">
        <v>888</v>
      </c>
      <c r="E43" s="153" t="s">
        <v>343</v>
      </c>
      <c r="F43" s="153" t="s">
        <v>344</v>
      </c>
      <c r="G43" s="154">
        <v>348107287339861</v>
      </c>
    </row>
    <row r="44" spans="2:7" x14ac:dyDescent="0.25">
      <c r="B44" s="152" t="s">
        <v>345</v>
      </c>
      <c r="C44" s="153" t="s">
        <v>346</v>
      </c>
      <c r="D44" s="153">
        <v>2700</v>
      </c>
      <c r="E44" s="153" t="s">
        <v>347</v>
      </c>
      <c r="F44" s="153" t="s">
        <v>348</v>
      </c>
      <c r="G44" s="154">
        <v>5298193172351453</v>
      </c>
    </row>
    <row r="45" spans="2:7" x14ac:dyDescent="0.25">
      <c r="B45" s="152" t="s">
        <v>349</v>
      </c>
      <c r="C45" s="153" t="s">
        <v>350</v>
      </c>
      <c r="D45" s="153">
        <v>6825</v>
      </c>
      <c r="E45" s="153" t="s">
        <v>351</v>
      </c>
      <c r="F45" s="153" t="s">
        <v>352</v>
      </c>
      <c r="G45" s="154">
        <v>5121364598469800</v>
      </c>
    </row>
    <row r="46" spans="2:7" x14ac:dyDescent="0.25">
      <c r="B46" s="152" t="s">
        <v>353</v>
      </c>
      <c r="C46" s="153" t="s">
        <v>354</v>
      </c>
      <c r="D46" s="153">
        <v>5814</v>
      </c>
      <c r="E46" s="153" t="s">
        <v>355</v>
      </c>
      <c r="F46" s="153" t="s">
        <v>356</v>
      </c>
      <c r="G46" s="154">
        <v>4883317238790919</v>
      </c>
    </row>
    <row r="47" spans="2:7" x14ac:dyDescent="0.25">
      <c r="B47" s="152" t="s">
        <v>357</v>
      </c>
      <c r="C47" s="153" t="s">
        <v>358</v>
      </c>
      <c r="D47" s="153">
        <v>1059</v>
      </c>
      <c r="E47" s="153" t="s">
        <v>359</v>
      </c>
      <c r="F47" s="153" t="s">
        <v>360</v>
      </c>
      <c r="G47" s="154">
        <v>5110028497800238</v>
      </c>
    </row>
    <row r="48" spans="2:7" x14ac:dyDescent="0.25">
      <c r="B48" s="152" t="s">
        <v>361</v>
      </c>
      <c r="C48" s="153" t="s">
        <v>362</v>
      </c>
      <c r="D48" s="153">
        <v>89</v>
      </c>
      <c r="E48" s="153" t="s">
        <v>363</v>
      </c>
      <c r="F48" s="153" t="s">
        <v>364</v>
      </c>
      <c r="G48" s="154">
        <v>373697672867682</v>
      </c>
    </row>
    <row r="49" spans="2:7" x14ac:dyDescent="0.25">
      <c r="B49" s="156" t="s">
        <v>365</v>
      </c>
      <c r="C49" s="157" t="s">
        <v>366</v>
      </c>
      <c r="D49" s="157">
        <v>2029</v>
      </c>
      <c r="E49" s="157" t="s">
        <v>367</v>
      </c>
      <c r="F49" s="157" t="s">
        <v>348</v>
      </c>
      <c r="G49" s="158">
        <v>343165813799011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C793-6D9C-42B7-8B8F-E3C2326D8E6C}">
  <dimension ref="B2:I49"/>
  <sheetViews>
    <sheetView topLeftCell="A13" workbookViewId="0">
      <selection activeCell="B11" sqref="B11"/>
    </sheetView>
  </sheetViews>
  <sheetFormatPr defaultRowHeight="15" x14ac:dyDescent="0.25"/>
  <cols>
    <col min="2" max="2" width="19.28515625" customWidth="1"/>
    <col min="3" max="3" width="30.42578125" bestFit="1" customWidth="1"/>
    <col min="4" max="4" width="19.85546875" customWidth="1"/>
    <col min="5" max="5" width="22.85546875" customWidth="1"/>
    <col min="6" max="6" width="37" bestFit="1" customWidth="1"/>
    <col min="7" max="7" width="20.7109375" customWidth="1"/>
  </cols>
  <sheetData>
    <row r="2" spans="2:9" x14ac:dyDescent="0.25">
      <c r="B2" s="167" t="s">
        <v>196</v>
      </c>
      <c r="C2" s="167" t="s">
        <v>197</v>
      </c>
      <c r="D2" s="167" t="s">
        <v>198</v>
      </c>
      <c r="E2" s="167" t="s">
        <v>199</v>
      </c>
      <c r="F2" s="167" t="s">
        <v>200</v>
      </c>
      <c r="G2" s="167" t="s">
        <v>201</v>
      </c>
    </row>
    <row r="3" spans="2:9" x14ac:dyDescent="0.25">
      <c r="B3" s="153" t="s">
        <v>202</v>
      </c>
      <c r="C3" s="153" t="s">
        <v>203</v>
      </c>
      <c r="D3" s="153">
        <v>5318</v>
      </c>
      <c r="E3" s="153" t="s">
        <v>204</v>
      </c>
      <c r="F3" s="153" t="s">
        <v>205</v>
      </c>
      <c r="G3" s="153">
        <v>5384821115070951</v>
      </c>
      <c r="I3" t="s">
        <v>381</v>
      </c>
    </row>
    <row r="4" spans="2:9" x14ac:dyDescent="0.25">
      <c r="B4" s="153" t="s">
        <v>207</v>
      </c>
      <c r="C4" s="153" t="s">
        <v>208</v>
      </c>
      <c r="D4" s="153">
        <v>1811</v>
      </c>
      <c r="E4" s="153" t="s">
        <v>209</v>
      </c>
      <c r="F4" s="153" t="s">
        <v>210</v>
      </c>
      <c r="G4" s="153">
        <v>5375716680027546</v>
      </c>
    </row>
    <row r="5" spans="2:9" x14ac:dyDescent="0.25">
      <c r="B5" s="153" t="s">
        <v>212</v>
      </c>
      <c r="C5" s="153" t="s">
        <v>213</v>
      </c>
      <c r="D5" s="153">
        <v>6654</v>
      </c>
      <c r="E5" s="153" t="s">
        <v>214</v>
      </c>
      <c r="F5" s="153" t="s">
        <v>210</v>
      </c>
      <c r="G5" s="153">
        <v>5368111052946187</v>
      </c>
    </row>
    <row r="6" spans="2:9" x14ac:dyDescent="0.25">
      <c r="B6" s="153" t="s">
        <v>215</v>
      </c>
      <c r="C6" s="153" t="s">
        <v>216</v>
      </c>
      <c r="D6" s="153">
        <v>4300</v>
      </c>
      <c r="E6" s="153" t="s">
        <v>217</v>
      </c>
      <c r="F6" s="153" t="s">
        <v>210</v>
      </c>
      <c r="G6" s="153">
        <v>374143111580983</v>
      </c>
    </row>
    <row r="7" spans="2:9" x14ac:dyDescent="0.25">
      <c r="B7" s="153" t="s">
        <v>218</v>
      </c>
      <c r="C7" s="153" t="s">
        <v>219</v>
      </c>
      <c r="D7" s="153">
        <v>4473</v>
      </c>
      <c r="E7" s="153" t="s">
        <v>220</v>
      </c>
      <c r="F7" s="153" t="s">
        <v>210</v>
      </c>
      <c r="G7" s="153">
        <v>342869218022092</v>
      </c>
    </row>
    <row r="8" spans="2:9" x14ac:dyDescent="0.25">
      <c r="B8" s="153" t="s">
        <v>221</v>
      </c>
      <c r="C8" s="153" t="s">
        <v>222</v>
      </c>
      <c r="D8" s="153">
        <v>5201</v>
      </c>
      <c r="E8" s="153" t="s">
        <v>223</v>
      </c>
      <c r="F8" s="153" t="s">
        <v>224</v>
      </c>
      <c r="G8" s="153">
        <v>5392474467409771</v>
      </c>
    </row>
    <row r="9" spans="2:9" x14ac:dyDescent="0.25">
      <c r="B9" s="153" t="s">
        <v>225</v>
      </c>
      <c r="C9" s="153" t="s">
        <v>226</v>
      </c>
      <c r="D9" s="153">
        <v>2760</v>
      </c>
      <c r="E9" s="153" t="s">
        <v>227</v>
      </c>
      <c r="F9" s="153" t="s">
        <v>228</v>
      </c>
      <c r="G9" s="153">
        <v>5178439900185916</v>
      </c>
    </row>
    <row r="10" spans="2:9" x14ac:dyDescent="0.25">
      <c r="B10" s="153" t="s">
        <v>229</v>
      </c>
      <c r="C10" s="153" t="s">
        <v>230</v>
      </c>
      <c r="D10" s="153">
        <v>7106</v>
      </c>
      <c r="E10" s="153" t="s">
        <v>231</v>
      </c>
      <c r="F10" s="153" t="s">
        <v>232</v>
      </c>
      <c r="G10" s="153">
        <v>345865207048137</v>
      </c>
    </row>
    <row r="11" spans="2:9" x14ac:dyDescent="0.25">
      <c r="B11" s="153" t="s">
        <v>233</v>
      </c>
      <c r="C11" s="153" t="s">
        <v>234</v>
      </c>
      <c r="D11" s="153">
        <v>9184</v>
      </c>
      <c r="E11" s="153" t="s">
        <v>223</v>
      </c>
      <c r="F11" s="153" t="s">
        <v>235</v>
      </c>
      <c r="G11" s="153">
        <v>4923488002177320</v>
      </c>
    </row>
    <row r="12" spans="2:9" x14ac:dyDescent="0.25">
      <c r="B12" s="153" t="s">
        <v>236</v>
      </c>
      <c r="C12" s="153" t="s">
        <v>237</v>
      </c>
      <c r="D12" s="153">
        <v>7319</v>
      </c>
      <c r="E12" s="153" t="s">
        <v>238</v>
      </c>
      <c r="F12" s="153" t="s">
        <v>239</v>
      </c>
      <c r="G12" s="153">
        <v>5337154478123415</v>
      </c>
    </row>
    <row r="13" spans="2:9" x14ac:dyDescent="0.25">
      <c r="B13" s="153" t="s">
        <v>240</v>
      </c>
      <c r="C13" s="153" t="s">
        <v>241</v>
      </c>
      <c r="D13" s="153">
        <v>6476</v>
      </c>
      <c r="E13" s="153" t="s">
        <v>242</v>
      </c>
      <c r="F13" s="153" t="s">
        <v>239</v>
      </c>
      <c r="G13" s="153">
        <v>371725053978156</v>
      </c>
    </row>
    <row r="14" spans="2:9" x14ac:dyDescent="0.25">
      <c r="B14" s="153" t="s">
        <v>243</v>
      </c>
      <c r="C14" s="153" t="s">
        <v>244</v>
      </c>
      <c r="D14" s="153">
        <v>3629</v>
      </c>
      <c r="E14" s="153" t="s">
        <v>245</v>
      </c>
      <c r="F14" s="153" t="s">
        <v>246</v>
      </c>
      <c r="G14" s="153">
        <v>345054592756554</v>
      </c>
    </row>
    <row r="15" spans="2:9" x14ac:dyDescent="0.25">
      <c r="B15" s="153" t="s">
        <v>247</v>
      </c>
      <c r="C15" s="153" t="s">
        <v>248</v>
      </c>
      <c r="D15" s="153">
        <v>5388</v>
      </c>
      <c r="E15" s="153" t="s">
        <v>249</v>
      </c>
      <c r="F15" s="153" t="s">
        <v>246</v>
      </c>
      <c r="G15" s="153">
        <v>5217258850480421</v>
      </c>
    </row>
    <row r="16" spans="2:9" x14ac:dyDescent="0.25">
      <c r="B16" s="153" t="s">
        <v>250</v>
      </c>
      <c r="C16" s="153" t="s">
        <v>251</v>
      </c>
      <c r="D16" s="153">
        <v>7602</v>
      </c>
      <c r="E16" s="153" t="s">
        <v>252</v>
      </c>
      <c r="F16" s="153" t="s">
        <v>246</v>
      </c>
      <c r="G16" s="153">
        <v>341183532540689</v>
      </c>
    </row>
    <row r="17" spans="2:7" x14ac:dyDescent="0.25">
      <c r="B17" s="153" t="s">
        <v>253</v>
      </c>
      <c r="C17" s="153" t="s">
        <v>254</v>
      </c>
      <c r="D17" s="153">
        <v>1187</v>
      </c>
      <c r="E17" s="153" t="s">
        <v>220</v>
      </c>
      <c r="F17" s="153" t="s">
        <v>246</v>
      </c>
      <c r="G17" s="153">
        <v>5225612130207006</v>
      </c>
    </row>
    <row r="18" spans="2:7" x14ac:dyDescent="0.25">
      <c r="B18" s="153" t="s">
        <v>255</v>
      </c>
      <c r="C18" s="153" t="s">
        <v>256</v>
      </c>
      <c r="D18" s="153">
        <v>5467</v>
      </c>
      <c r="E18" s="153" t="s">
        <v>257</v>
      </c>
      <c r="F18" s="153" t="s">
        <v>246</v>
      </c>
      <c r="G18" s="153">
        <v>5143326414111074</v>
      </c>
    </row>
    <row r="19" spans="2:7" x14ac:dyDescent="0.25">
      <c r="B19" s="153" t="s">
        <v>258</v>
      </c>
      <c r="C19" s="153" t="s">
        <v>259</v>
      </c>
      <c r="D19" s="153">
        <v>8874</v>
      </c>
      <c r="E19" s="153" t="s">
        <v>260</v>
      </c>
      <c r="F19" s="153" t="s">
        <v>261</v>
      </c>
      <c r="G19" s="153">
        <v>5197602475285533</v>
      </c>
    </row>
    <row r="20" spans="2:7" x14ac:dyDescent="0.25">
      <c r="B20" s="153" t="s">
        <v>262</v>
      </c>
      <c r="C20" s="153" t="s">
        <v>263</v>
      </c>
      <c r="D20" s="153">
        <v>9951</v>
      </c>
      <c r="E20" s="153" t="s">
        <v>264</v>
      </c>
      <c r="F20" s="153" t="s">
        <v>265</v>
      </c>
      <c r="G20" s="153">
        <v>4103846476739275</v>
      </c>
    </row>
    <row r="21" spans="2:7" x14ac:dyDescent="0.25">
      <c r="B21" s="153" t="s">
        <v>266</v>
      </c>
      <c r="C21" s="153" t="s">
        <v>267</v>
      </c>
      <c r="D21" s="153">
        <v>2703</v>
      </c>
      <c r="E21" s="153" t="s">
        <v>268</v>
      </c>
      <c r="F21" s="153" t="s">
        <v>269</v>
      </c>
      <c r="G21" s="153">
        <v>5139799568927848</v>
      </c>
    </row>
    <row r="22" spans="2:7" x14ac:dyDescent="0.25">
      <c r="B22" s="153" t="s">
        <v>270</v>
      </c>
      <c r="C22" s="153" t="s">
        <v>271</v>
      </c>
      <c r="D22" s="153">
        <v>1117</v>
      </c>
      <c r="E22" s="153" t="s">
        <v>272</v>
      </c>
      <c r="F22" s="153" t="s">
        <v>210</v>
      </c>
      <c r="G22" s="153">
        <v>5151106567797256</v>
      </c>
    </row>
    <row r="23" spans="2:7" x14ac:dyDescent="0.25">
      <c r="B23" s="153" t="s">
        <v>273</v>
      </c>
      <c r="C23" s="153" t="s">
        <v>274</v>
      </c>
      <c r="D23" s="153">
        <v>9397</v>
      </c>
      <c r="E23" s="153" t="s">
        <v>275</v>
      </c>
      <c r="F23" s="153" t="s">
        <v>210</v>
      </c>
      <c r="G23" s="153">
        <v>343025112347678</v>
      </c>
    </row>
    <row r="24" spans="2:7" x14ac:dyDescent="0.25">
      <c r="B24" s="153" t="s">
        <v>276</v>
      </c>
      <c r="C24" s="153" t="s">
        <v>277</v>
      </c>
      <c r="D24" s="153">
        <v>5064</v>
      </c>
      <c r="E24" s="153" t="s">
        <v>278</v>
      </c>
      <c r="F24" s="153" t="s">
        <v>210</v>
      </c>
      <c r="G24" s="153">
        <v>349939903719818</v>
      </c>
    </row>
    <row r="25" spans="2:7" x14ac:dyDescent="0.25">
      <c r="B25" s="153" t="s">
        <v>279</v>
      </c>
      <c r="C25" s="153" t="s">
        <v>280</v>
      </c>
      <c r="D25" s="153">
        <v>7924</v>
      </c>
      <c r="E25" s="153" t="s">
        <v>281</v>
      </c>
      <c r="F25" s="153" t="s">
        <v>210</v>
      </c>
      <c r="G25" s="153">
        <v>5355658052405348</v>
      </c>
    </row>
    <row r="26" spans="2:7" x14ac:dyDescent="0.25">
      <c r="B26" s="153" t="s">
        <v>282</v>
      </c>
      <c r="C26" s="153" t="s">
        <v>283</v>
      </c>
      <c r="D26" s="153">
        <v>1177</v>
      </c>
      <c r="E26" s="153" t="s">
        <v>284</v>
      </c>
      <c r="F26" s="153" t="s">
        <v>285</v>
      </c>
      <c r="G26" s="153">
        <v>345699269882404</v>
      </c>
    </row>
    <row r="27" spans="2:7" x14ac:dyDescent="0.25">
      <c r="B27" s="153" t="s">
        <v>286</v>
      </c>
      <c r="C27" s="153" t="s">
        <v>287</v>
      </c>
      <c r="D27" s="153">
        <v>6522</v>
      </c>
      <c r="E27" s="153" t="s">
        <v>288</v>
      </c>
      <c r="F27" s="153" t="s">
        <v>289</v>
      </c>
      <c r="G27" s="153">
        <v>5458015977572643</v>
      </c>
    </row>
    <row r="28" spans="2:7" x14ac:dyDescent="0.25">
      <c r="B28" s="153" t="s">
        <v>290</v>
      </c>
      <c r="C28" s="153" t="s">
        <v>291</v>
      </c>
      <c r="D28" s="153">
        <v>3466</v>
      </c>
      <c r="E28" s="153" t="s">
        <v>292</v>
      </c>
      <c r="F28" s="153" t="s">
        <v>289</v>
      </c>
      <c r="G28" s="153">
        <v>5280966912605791</v>
      </c>
    </row>
    <row r="29" spans="2:7" x14ac:dyDescent="0.25">
      <c r="B29" s="153" t="s">
        <v>293</v>
      </c>
      <c r="C29" s="153" t="s">
        <v>294</v>
      </c>
      <c r="D29" s="153">
        <v>6055</v>
      </c>
      <c r="E29" s="153" t="s">
        <v>295</v>
      </c>
      <c r="F29" s="153" t="s">
        <v>289</v>
      </c>
      <c r="G29" s="153">
        <v>5341513798339294</v>
      </c>
    </row>
    <row r="30" spans="2:7" x14ac:dyDescent="0.25">
      <c r="B30" s="153" t="s">
        <v>296</v>
      </c>
      <c r="C30" s="153" t="s">
        <v>297</v>
      </c>
      <c r="D30" s="153">
        <v>6088</v>
      </c>
      <c r="E30" s="153" t="s">
        <v>204</v>
      </c>
      <c r="F30" s="153" t="s">
        <v>289</v>
      </c>
      <c r="G30" s="153">
        <v>349840657485180</v>
      </c>
    </row>
    <row r="31" spans="2:7" x14ac:dyDescent="0.25">
      <c r="B31" s="153" t="s">
        <v>298</v>
      </c>
      <c r="C31" s="153" t="s">
        <v>299</v>
      </c>
      <c r="D31" s="153">
        <v>2532</v>
      </c>
      <c r="E31" s="153" t="s">
        <v>300</v>
      </c>
      <c r="F31" s="153" t="s">
        <v>301</v>
      </c>
      <c r="G31" s="153">
        <v>5359226264124737</v>
      </c>
    </row>
    <row r="32" spans="2:7" x14ac:dyDescent="0.25">
      <c r="B32" s="153" t="s">
        <v>302</v>
      </c>
      <c r="C32" s="153" t="s">
        <v>303</v>
      </c>
      <c r="D32" s="153">
        <v>8781</v>
      </c>
      <c r="E32" s="153" t="s">
        <v>304</v>
      </c>
      <c r="F32" s="153" t="s">
        <v>305</v>
      </c>
      <c r="G32" s="153">
        <v>5247881701840081</v>
      </c>
    </row>
    <row r="33" spans="2:7" x14ac:dyDescent="0.25">
      <c r="B33" s="153" t="s">
        <v>306</v>
      </c>
      <c r="C33" s="153" t="s">
        <v>307</v>
      </c>
      <c r="D33" s="153">
        <v>7905</v>
      </c>
      <c r="E33" s="153" t="s">
        <v>308</v>
      </c>
      <c r="F33" s="153" t="s">
        <v>309</v>
      </c>
      <c r="G33" s="153">
        <v>4278843502886599</v>
      </c>
    </row>
    <row r="34" spans="2:7" x14ac:dyDescent="0.25">
      <c r="B34" s="153" t="s">
        <v>310</v>
      </c>
      <c r="C34" s="153" t="s">
        <v>311</v>
      </c>
      <c r="D34" s="153">
        <v>1408</v>
      </c>
      <c r="E34" s="153" t="s">
        <v>312</v>
      </c>
      <c r="F34" s="153" t="s">
        <v>313</v>
      </c>
      <c r="G34" s="153">
        <v>5144047379195697</v>
      </c>
    </row>
    <row r="35" spans="2:7" x14ac:dyDescent="0.25">
      <c r="B35" s="153" t="s">
        <v>314</v>
      </c>
      <c r="C35" s="153" t="s">
        <v>315</v>
      </c>
      <c r="D35" s="153">
        <v>8589</v>
      </c>
      <c r="E35" s="153" t="s">
        <v>316</v>
      </c>
      <c r="F35" s="153" t="s">
        <v>317</v>
      </c>
      <c r="G35" s="153">
        <v>372359838186765</v>
      </c>
    </row>
    <row r="36" spans="2:7" x14ac:dyDescent="0.25">
      <c r="B36" s="153" t="s">
        <v>318</v>
      </c>
      <c r="C36" s="153" t="s">
        <v>319</v>
      </c>
      <c r="D36" s="153">
        <v>2226</v>
      </c>
      <c r="E36" s="153" t="s">
        <v>320</v>
      </c>
      <c r="F36" s="153" t="s">
        <v>305</v>
      </c>
      <c r="G36" s="153">
        <v>5185995403234841</v>
      </c>
    </row>
    <row r="37" spans="2:7" x14ac:dyDescent="0.25">
      <c r="B37" s="153" t="s">
        <v>276</v>
      </c>
      <c r="C37" s="153" t="s">
        <v>321</v>
      </c>
      <c r="D37" s="153">
        <v>1209</v>
      </c>
      <c r="E37" s="153" t="s">
        <v>322</v>
      </c>
      <c r="F37" s="153" t="s">
        <v>305</v>
      </c>
      <c r="G37" s="153">
        <v>377547849504744</v>
      </c>
    </row>
    <row r="38" spans="2:7" x14ac:dyDescent="0.25">
      <c r="B38" s="153" t="s">
        <v>323</v>
      </c>
      <c r="C38" s="153" t="s">
        <v>324</v>
      </c>
      <c r="D38" s="153">
        <v>1495</v>
      </c>
      <c r="E38" s="153" t="s">
        <v>325</v>
      </c>
      <c r="F38" s="153" t="s">
        <v>305</v>
      </c>
      <c r="G38" s="153">
        <v>5142290562088606</v>
      </c>
    </row>
    <row r="39" spans="2:7" x14ac:dyDescent="0.25">
      <c r="B39" s="153" t="s">
        <v>326</v>
      </c>
      <c r="C39" s="153" t="s">
        <v>327</v>
      </c>
      <c r="D39" s="153">
        <v>7342</v>
      </c>
      <c r="E39" s="153" t="s">
        <v>328</v>
      </c>
      <c r="F39" s="153" t="s">
        <v>305</v>
      </c>
      <c r="G39" s="153">
        <v>4784698706446217</v>
      </c>
    </row>
    <row r="40" spans="2:7" x14ac:dyDescent="0.25">
      <c r="B40" s="153" t="s">
        <v>329</v>
      </c>
      <c r="C40" s="153" t="s">
        <v>330</v>
      </c>
      <c r="D40" s="153">
        <v>4599</v>
      </c>
      <c r="E40" s="153" t="s">
        <v>331</v>
      </c>
      <c r="F40" s="153" t="s">
        <v>332</v>
      </c>
      <c r="G40" s="153">
        <v>345391839523334</v>
      </c>
    </row>
    <row r="41" spans="2:7" x14ac:dyDescent="0.25">
      <c r="B41" s="153" t="s">
        <v>333</v>
      </c>
      <c r="C41" s="153" t="s">
        <v>334</v>
      </c>
      <c r="D41" s="153">
        <v>6092</v>
      </c>
      <c r="E41" s="153" t="s">
        <v>335</v>
      </c>
      <c r="F41" s="153" t="s">
        <v>336</v>
      </c>
      <c r="G41" s="153">
        <v>379094263256992</v>
      </c>
    </row>
    <row r="42" spans="2:7" x14ac:dyDescent="0.25">
      <c r="B42" s="153" t="s">
        <v>337</v>
      </c>
      <c r="C42" s="153" t="s">
        <v>338</v>
      </c>
      <c r="D42" s="153">
        <v>7242</v>
      </c>
      <c r="E42" s="153" t="s">
        <v>339</v>
      </c>
      <c r="F42" s="153" t="s">
        <v>340</v>
      </c>
      <c r="G42" s="153">
        <v>5170818670904265</v>
      </c>
    </row>
    <row r="43" spans="2:7" x14ac:dyDescent="0.25">
      <c r="B43" s="153" t="s">
        <v>341</v>
      </c>
      <c r="C43" s="153" t="s">
        <v>342</v>
      </c>
      <c r="D43" s="153">
        <v>888</v>
      </c>
      <c r="E43" s="153" t="s">
        <v>343</v>
      </c>
      <c r="F43" s="153" t="s">
        <v>344</v>
      </c>
      <c r="G43" s="153">
        <v>348107287339861</v>
      </c>
    </row>
    <row r="44" spans="2:7" x14ac:dyDescent="0.25">
      <c r="B44" s="153" t="s">
        <v>345</v>
      </c>
      <c r="C44" s="153" t="s">
        <v>346</v>
      </c>
      <c r="D44" s="153">
        <v>2700</v>
      </c>
      <c r="E44" s="153" t="s">
        <v>347</v>
      </c>
      <c r="F44" s="153" t="s">
        <v>348</v>
      </c>
      <c r="G44" s="153">
        <v>5298193172351453</v>
      </c>
    </row>
    <row r="45" spans="2:7" x14ac:dyDescent="0.25">
      <c r="B45" s="153" t="s">
        <v>349</v>
      </c>
      <c r="C45" s="153" t="s">
        <v>350</v>
      </c>
      <c r="D45" s="153">
        <v>6825</v>
      </c>
      <c r="E45" s="153" t="s">
        <v>351</v>
      </c>
      <c r="F45" s="153" t="s">
        <v>352</v>
      </c>
      <c r="G45" s="153">
        <v>5121364598469800</v>
      </c>
    </row>
    <row r="46" spans="2:7" x14ac:dyDescent="0.25">
      <c r="B46" s="153" t="s">
        <v>353</v>
      </c>
      <c r="C46" s="153" t="s">
        <v>354</v>
      </c>
      <c r="D46" s="153">
        <v>5814</v>
      </c>
      <c r="E46" s="153" t="s">
        <v>355</v>
      </c>
      <c r="F46" s="153" t="s">
        <v>356</v>
      </c>
      <c r="G46" s="153">
        <v>4883317238790919</v>
      </c>
    </row>
    <row r="47" spans="2:7" x14ac:dyDescent="0.25">
      <c r="B47" s="153" t="s">
        <v>357</v>
      </c>
      <c r="C47" s="153" t="s">
        <v>358</v>
      </c>
      <c r="D47" s="153">
        <v>1059</v>
      </c>
      <c r="E47" s="153" t="s">
        <v>359</v>
      </c>
      <c r="F47" s="153" t="s">
        <v>360</v>
      </c>
      <c r="G47" s="153">
        <v>5110028497800238</v>
      </c>
    </row>
    <row r="48" spans="2:7" x14ac:dyDescent="0.25">
      <c r="B48" s="153" t="s">
        <v>361</v>
      </c>
      <c r="C48" s="153" t="s">
        <v>362</v>
      </c>
      <c r="D48" s="153">
        <v>89</v>
      </c>
      <c r="E48" s="153" t="s">
        <v>363</v>
      </c>
      <c r="F48" s="153" t="s">
        <v>364</v>
      </c>
      <c r="G48" s="153">
        <v>373697672867682</v>
      </c>
    </row>
    <row r="49" spans="2:7" x14ac:dyDescent="0.25">
      <c r="B49" s="153" t="s">
        <v>365</v>
      </c>
      <c r="C49" s="153" t="s">
        <v>366</v>
      </c>
      <c r="D49" s="153">
        <v>2029</v>
      </c>
      <c r="E49" s="153" t="s">
        <v>367</v>
      </c>
      <c r="F49" s="153" t="s">
        <v>348</v>
      </c>
      <c r="G49" s="153">
        <v>343165813799011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BEF6-2DD9-49EC-A4BF-9BEC115CEE57}">
  <sheetPr>
    <pageSetUpPr autoPageBreaks="0"/>
  </sheetPr>
  <dimension ref="B2:H11"/>
  <sheetViews>
    <sheetView showGridLines="0" zoomScale="150" zoomScaleNormal="150" workbookViewId="0">
      <selection activeCell="E3" sqref="E3"/>
    </sheetView>
  </sheetViews>
  <sheetFormatPr defaultRowHeight="15" x14ac:dyDescent="0.25"/>
  <cols>
    <col min="1" max="1" width="3.28515625" customWidth="1"/>
    <col min="3" max="3" width="14.140625" customWidth="1"/>
    <col min="5" max="5" width="15.5703125" bestFit="1" customWidth="1"/>
  </cols>
  <sheetData>
    <row r="2" spans="2:8" x14ac:dyDescent="0.25">
      <c r="E2" t="s">
        <v>382</v>
      </c>
    </row>
    <row r="3" spans="2:8" x14ac:dyDescent="0.25">
      <c r="C3">
        <f ca="1">RAND()</f>
        <v>0.85776057523243365</v>
      </c>
      <c r="E3" t="str">
        <f ca="1">_xlfn.FORMULATEXT(C3)</f>
        <v>=RAND()</v>
      </c>
      <c r="G3">
        <v>50</v>
      </c>
      <c r="H3" t="b">
        <f>G3=G4</f>
        <v>1</v>
      </c>
    </row>
    <row r="4" spans="2:8" x14ac:dyDescent="0.25">
      <c r="B4" t="s">
        <v>384</v>
      </c>
      <c r="C4" s="130">
        <f ca="1">NOW()</f>
        <v>45593.079893981485</v>
      </c>
      <c r="E4" t="str">
        <f ca="1">_xlfn.FORMULATEXT(C4)</f>
        <v>=NOW()</v>
      </c>
      <c r="G4">
        <v>50</v>
      </c>
    </row>
    <row r="5" spans="2:8" x14ac:dyDescent="0.25">
      <c r="B5" t="s">
        <v>385</v>
      </c>
      <c r="C5" s="130">
        <f ca="1">TODAY()</f>
        <v>45593</v>
      </c>
      <c r="E5" t="str">
        <f ca="1">_xlfn.FORMULATEXT(C5)</f>
        <v>=TODAY()</v>
      </c>
    </row>
    <row r="7" spans="2:8" x14ac:dyDescent="0.25">
      <c r="C7" s="130">
        <f ca="1">OFFSET(C3,1,0)</f>
        <v>45593.079893981485</v>
      </c>
      <c r="E7" t="str">
        <f ca="1">_xlfn.FORMULATEXT(C7)</f>
        <v>=OFFSET(C3,1,0)</v>
      </c>
      <c r="G7">
        <f ca="1">RANDBETWEEN(1,10)</f>
        <v>2</v>
      </c>
    </row>
    <row r="8" spans="2:8" x14ac:dyDescent="0.25">
      <c r="C8" cm="1">
        <f t="array" aca="1" ref="C8" ca="1">INDIRECT("B3")</f>
        <v>0</v>
      </c>
      <c r="E8" t="str">
        <f ca="1">_xlfn.FORMULATEXT(C8)</f>
        <v>=INDIRECT("B3")</v>
      </c>
    </row>
    <row r="11" spans="2:8" x14ac:dyDescent="0.25">
      <c r="E11">
        <f ca="1">RAND()</f>
        <v>0.23802206771969503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22</vt:i4>
      </vt:variant>
    </vt:vector>
  </HeadingPairs>
  <TitlesOfParts>
    <vt:vector size="54" baseType="lpstr">
      <vt:lpstr>VLOOKUP</vt:lpstr>
      <vt:lpstr>INDEX MATCH</vt:lpstr>
      <vt:lpstr>XLOOKUP</vt:lpstr>
      <vt:lpstr>Raw Data</vt:lpstr>
      <vt:lpstr>Decision and text F</vt:lpstr>
      <vt:lpstr>IF</vt:lpstr>
      <vt:lpstr>IFS</vt:lpstr>
      <vt:lpstr>Choose</vt:lpstr>
      <vt:lpstr>SWITCH</vt:lpstr>
      <vt:lpstr>SUMIF COUNTIF</vt:lpstr>
      <vt:lpstr>Demo</vt:lpstr>
      <vt:lpstr>Lookup Function</vt:lpstr>
      <vt:lpstr>Vlookup #</vt:lpstr>
      <vt:lpstr>Index Match #</vt:lpstr>
      <vt:lpstr>Xlookup #</vt:lpstr>
      <vt:lpstr>Raw Data #</vt:lpstr>
      <vt:lpstr>Complete #</vt:lpstr>
      <vt:lpstr>Filter #</vt:lpstr>
      <vt:lpstr>SPACE #</vt:lpstr>
      <vt:lpstr>COMMA #</vt:lpstr>
      <vt:lpstr>UNIQUE #</vt:lpstr>
      <vt:lpstr>UNIQUE##</vt:lpstr>
      <vt:lpstr>TEXTJOIN</vt:lpstr>
      <vt:lpstr>LET</vt:lpstr>
      <vt:lpstr>FILTER##</vt:lpstr>
      <vt:lpstr>RANGE DEMO #</vt:lpstr>
      <vt:lpstr>Name Ranges</vt:lpstr>
      <vt:lpstr>What to know about Name Ranges </vt:lpstr>
      <vt:lpstr>Demo#</vt:lpstr>
      <vt:lpstr>Excel Tables</vt:lpstr>
      <vt:lpstr>Fun with Tables </vt:lpstr>
      <vt:lpstr>Sheet1</vt:lpstr>
      <vt:lpstr>all</vt:lpstr>
      <vt:lpstr>April</vt:lpstr>
      <vt:lpstr>Data.Number</vt:lpstr>
      <vt:lpstr>Data.Table</vt:lpstr>
      <vt:lpstr>Data.Tables</vt:lpstr>
      <vt:lpstr>East</vt:lpstr>
      <vt:lpstr>February</vt:lpstr>
      <vt:lpstr>Headers</vt:lpstr>
      <vt:lpstr>January</vt:lpstr>
      <vt:lpstr>July</vt:lpstr>
      <vt:lpstr>June</vt:lpstr>
      <vt:lpstr>March</vt:lpstr>
      <vt:lpstr>MaxValue</vt:lpstr>
      <vt:lpstr>May</vt:lpstr>
      <vt:lpstr>MinValue</vt:lpstr>
      <vt:lpstr>Names</vt:lpstr>
      <vt:lpstr>NamesRanges</vt:lpstr>
      <vt:lpstr>NamesRnages</vt:lpstr>
      <vt:lpstr>North</vt:lpstr>
      <vt:lpstr>South</vt:lpstr>
      <vt:lpstr>Tables.Data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</dc:creator>
  <cp:lastModifiedBy>Sachin S</cp:lastModifiedBy>
  <cp:lastPrinted>2024-10-22T06:52:55Z</cp:lastPrinted>
  <dcterms:created xsi:type="dcterms:W3CDTF">2024-09-24T17:49:20Z</dcterms:created>
  <dcterms:modified xsi:type="dcterms:W3CDTF">2024-10-27T20:25:02Z</dcterms:modified>
</cp:coreProperties>
</file>